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146" windowWidth="6330" windowHeight="7350" tabRatio="933" activeTab="0"/>
  </bookViews>
  <sheets>
    <sheet name="Resumen" sheetId="1" r:id="rId1"/>
    <sheet name="IN-04-14" sheetId="2" r:id="rId2"/>
    <sheet name="Equipos" sheetId="3" r:id="rId3"/>
    <sheet name="Mov. Tierra" sheetId="4" r:id="rId4"/>
    <sheet name="Fundaciones" sheetId="5" r:id="rId5"/>
    <sheet name="Estr Resistente" sheetId="6" r:id="rId6"/>
    <sheet name="Cerram ext int" sheetId="7" r:id="rId7"/>
    <sheet name="Aislaciones" sheetId="8" r:id="rId8"/>
    <sheet name="Revoques" sheetId="9" r:id="rId9"/>
    <sheet name="Solados" sheetId="10" r:id="rId10"/>
    <sheet name="Techos" sheetId="11" r:id="rId11"/>
    <sheet name="Cielorrasos" sheetId="12" r:id="rId12"/>
    <sheet name="Revestimientos" sheetId="13" r:id="rId13"/>
    <sheet name="Carpintería" sheetId="14" r:id="rId14"/>
    <sheet name="Inst sanitaria" sheetId="15" r:id="rId15"/>
    <sheet name="Inst Gas" sheetId="16" r:id="rId16"/>
    <sheet name="Inst Eléctrica" sheetId="17" r:id="rId17"/>
    <sheet name="Pintura" sheetId="18" r:id="rId18"/>
    <sheet name="Vidrios" sheetId="19" r:id="rId19"/>
    <sheet name="Varios" sheetId="20" r:id="rId20"/>
    <sheet name="Red de Agua" sheetId="21" r:id="rId21"/>
    <sheet name="Red de Cloaca" sheetId="22" r:id="rId22"/>
    <sheet name="Red de Gas" sheetId="23" r:id="rId23"/>
    <sheet name="Red de Electricidad" sheetId="24" r:id="rId24"/>
    <sheet name="Red Vial" sheetId="25" r:id="rId25"/>
    <sheet name="Flete" sheetId="26" r:id="rId26"/>
    <sheet name="Dolar" sheetId="27" r:id="rId27"/>
  </sheets>
  <externalReferences>
    <externalReference r:id="rId30"/>
    <externalReference r:id="rId31"/>
    <externalReference r:id="rId32"/>
  </externalReferences>
  <definedNames>
    <definedName name="_Key1" hidden="1">'IN-04-14'!$A$7</definedName>
    <definedName name="_Order1" hidden="1">255</definedName>
    <definedName name="_Regression_Int" localSheetId="7" hidden="1">1</definedName>
    <definedName name="_Regression_Int" localSheetId="13" hidden="1">1</definedName>
    <definedName name="_Regression_Int" localSheetId="6" hidden="1">1</definedName>
    <definedName name="_Regression_Int" localSheetId="11" hidden="1">1</definedName>
    <definedName name="_Regression_Int" localSheetId="5" hidden="1">1</definedName>
    <definedName name="_Regression_Int" localSheetId="4" hidden="1">1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3" hidden="1">1</definedName>
    <definedName name="_Regression_Int" localSheetId="17" hidden="1">1</definedName>
    <definedName name="_Regression_Int" localSheetId="20" hidden="1">1</definedName>
    <definedName name="_Regression_Int" localSheetId="21" hidden="1">1</definedName>
    <definedName name="_Regression_Int" localSheetId="23" hidden="1">1</definedName>
    <definedName name="_Regression_Int" localSheetId="22" hidden="1">1</definedName>
    <definedName name="_Regression_Int" localSheetId="24" hidden="1">1</definedName>
    <definedName name="_Regression_Int" localSheetId="12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9" hidden="1">1</definedName>
    <definedName name="_Regression_Int" localSheetId="18" hidden="1">1</definedName>
    <definedName name="_Sort" hidden="1">'IN-04-14'!$A$6:$E$8</definedName>
    <definedName name="_xlnm.Print_Area" localSheetId="7">'Aislaciones'!$A$1:$G$14</definedName>
    <definedName name="_xlnm.Print_Area" localSheetId="13">'Carpintería'!$A$1:$G$64</definedName>
    <definedName name="_xlnm.Print_Area" localSheetId="6">'Cerram ext int'!$A$1:$G$97</definedName>
    <definedName name="_xlnm.Print_Area" localSheetId="11">'Cielorrasos'!$A$1:$G$68</definedName>
    <definedName name="_xlnm.Print_Area" localSheetId="2">'Equipos'!$A$4:$Q$15</definedName>
    <definedName name="_xlnm.Print_Area" localSheetId="5">'Estr Resistente'!$A$1:$G$96</definedName>
    <definedName name="_xlnm.Print_Area" localSheetId="4">'Fundaciones'!$A$1:$G$48</definedName>
    <definedName name="_xlnm.Print_Area" localSheetId="16">'Inst Eléctrica'!$A$2:$G$42</definedName>
    <definedName name="_xlnm.Print_Area" localSheetId="15">'Inst Gas'!$A$1:$G$53</definedName>
    <definedName name="_xlnm.Print_Area" localSheetId="14">'Inst sanitaria'!$A$2:$G$131</definedName>
    <definedName name="_xlnm.Print_Area" localSheetId="3">'Mov. Tierra'!$A$2:$G$62</definedName>
    <definedName name="_xlnm.Print_Area" localSheetId="17">'Pintura'!$A$1:$G$78</definedName>
    <definedName name="_xlnm.Print_Area" localSheetId="20">'Red de Agua'!$A$1:$G$44</definedName>
    <definedName name="_xlnm.Print_Area" localSheetId="21">'Red de Cloaca'!$A$1:$G$32</definedName>
    <definedName name="_xlnm.Print_Area" localSheetId="23">'Red de Electricidad'!$A$2:$G$67</definedName>
    <definedName name="_xlnm.Print_Area" localSheetId="22">'Red de Gas'!$A$1:$G$26</definedName>
    <definedName name="_xlnm.Print_Area" localSheetId="24">'Red Vial'!$A$15:$G$46</definedName>
    <definedName name="_xlnm.Print_Area" localSheetId="12">'Revestimientos'!$A$1:$G$20</definedName>
    <definedName name="_xlnm.Print_Area" localSheetId="8">'Revoques'!$A$1:$G$48</definedName>
    <definedName name="_xlnm.Print_Area" localSheetId="9">'Solados'!$A$1:$G$104</definedName>
    <definedName name="_xlnm.Print_Area" localSheetId="10">'Techos'!$A$1:$G$94</definedName>
    <definedName name="_xlnm.Print_Area" localSheetId="19">'Varios'!$A$20:$G$46</definedName>
    <definedName name="_xlnm.Print_Area" localSheetId="18">'Vidrios'!$A$1:$G$7</definedName>
    <definedName name="aserradora">'[1]Equipos'!$Q$17</definedName>
    <definedName name="bomba">'[1]Equipos'!$Q$18</definedName>
    <definedName name="camion">'Equipos'!$Q$7</definedName>
    <definedName name="camionacopl">'[1]Equipos'!$Q$19</definedName>
    <definedName name="camionford">'[1]Equipos'!$Q$7</definedName>
    <definedName name="CODIGO">'IN-04-14'!$A$6:$A$238</definedName>
    <definedName name="DESCRIPCION">'IN-04-14'!$B$6:$B$238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'Fundaciones'!$D$3</definedName>
    <definedName name="dfor_0.09.02.F">'Fundaciones'!$D$14</definedName>
    <definedName name="dfor_0.09.03.F">'Fundaciones'!$D$26</definedName>
    <definedName name="dfor_0.09.04.F">'Fundaciones'!$D$38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'Aislaciones'!$D$3</definedName>
    <definedName name="dfor_0.24.00.F">'Revoques'!$D$3</definedName>
    <definedName name="dfor_0.24.50.F">'Revoques'!$D$15</definedName>
    <definedName name="dfor_0.24.51.F">'Revoques'!$D$27</definedName>
    <definedName name="dfor_0.24.70.F">'Revoques'!$D$39</definedName>
    <definedName name="dfor_0.27.00.A">'Solados'!$D$3</definedName>
    <definedName name="dfor_0.27.10.A">'Solados'!$D$14</definedName>
    <definedName name="dfor_0.27.20.A">'Solados'!$D$25</definedName>
    <definedName name="dfor_0.27.25.A">'Solados'!$D$37</definedName>
    <definedName name="dfor_0.27.30.A">'Solados'!$D$49</definedName>
    <definedName name="dfor_0.27.31.A">'Solados'!$D$60</definedName>
    <definedName name="dfor_0.27.40.A">'Solados'!$D$73</definedName>
    <definedName name="dfor_0.27.40.F">'Solados'!$D$83</definedName>
    <definedName name="dfor_0.27.41.F">'Solados'!$D$94</definedName>
    <definedName name="dfor_0.30.00.A">'Techos'!$D$3</definedName>
    <definedName name="dfor_0.30.01.A">'Techos'!$D$18</definedName>
    <definedName name="dfor_0.30.15.A">'Techos'!$D$33</definedName>
    <definedName name="dfor_0.30.30.A">'Techos'!$D$43</definedName>
    <definedName name="dfor_0.30.31.A">'Techos'!$D$53</definedName>
    <definedName name="dfor_0.30.45.A">'Techos'!$D$64</definedName>
    <definedName name="dfor_0.30.60.A">'Techos'!$D$81</definedName>
    <definedName name="dfor_0.30.61.A">'Techos'!$D$96</definedName>
    <definedName name="dfor_0.33.00.A">'Cielorrasos'!$D$3</definedName>
    <definedName name="dfor_0.33.05.A">'Cielorrasos'!$D$17</definedName>
    <definedName name="dfor_0.33.10.A">'Cielorrasos'!$D$32</definedName>
    <definedName name="dfor_0.33.15.A">'Cielorrasos'!$D$41</definedName>
    <definedName name="dfor_0.33.30.A">'Cielorrasos'!$D$51</definedName>
    <definedName name="dfor_0.33.35.A">'Cielorrasos'!$D$62</definedName>
    <definedName name="dfor_0.33.36.F">'Cielorrasos'!$D$71</definedName>
    <definedName name="dfor_0.36.30.A">'Revestimientos'!$D$3</definedName>
    <definedName name="dfor_0.36.40.A">'Revestimientos'!$D$12</definedName>
    <definedName name="dfor_0.39.00.A">'Carpintería'!$D$3</definedName>
    <definedName name="dfor_0.39.01.F">'Carpintería'!$D$16</definedName>
    <definedName name="dfor_0.39.02.F">'Carpintería'!$D$25</definedName>
    <definedName name="dfor_0.39.03.F">'Carpintería'!$D$36</definedName>
    <definedName name="dfor_0.39.04.F">'Carpintería'!$D$48</definedName>
    <definedName name="dfor_0.39.05.F">'Carpintería'!$D$57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'Pintura'!$D$3</definedName>
    <definedName name="dfor_0.72.20.A">'Pintura'!$D$15</definedName>
    <definedName name="dfor_0.72.30.A">'Pintura'!$D$26</definedName>
    <definedName name="dfor_0.72.40.A">'Pintura'!$D$37</definedName>
    <definedName name="dfor_0.72.41.F">'Pintura'!$D$49</definedName>
    <definedName name="dfor_0.72.42.F">'Pintura'!$D$59</definedName>
    <definedName name="dfor_0.72.50.F">'Pintura'!$D$70</definedName>
    <definedName name="dfor_0.78.00.A">'Vidrios'!$D$3</definedName>
    <definedName name="dfor_0.99.01.F">'Varios'!$D$3</definedName>
    <definedName name="dfor_0.99.02.F">'Varios'!$D$12</definedName>
    <definedName name="dfor_0.99.03.F">'Varios'!$D$21</definedName>
    <definedName name="dfor_0.99.04.F">'Varios'!$D$39</definedName>
    <definedName name="dfor_0.99.05.F">'Varios'!$D$49</definedName>
    <definedName name="dfor_0.99.06.F">'Varios'!$D$58</definedName>
    <definedName name="dfor_0.99.07.F">'Varios'!$D$67</definedName>
    <definedName name="dfor_0.99.08.F">'Varios'!$D$74</definedName>
    <definedName name="dfor_0.99.09.F">'Varios'!$D$82</definedName>
    <definedName name="dfor_0.99.10.F">'Varios'!$D$93</definedName>
    <definedName name="dfor_0.99.11.F">'Varios'!$D$102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'IN-04-14'!$D$3</definedName>
    <definedName name="Flete">'Flete'!$A$8:$M$49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'Fundaciones'!$B$2</definedName>
    <definedName name="for_0.09.02.F">'Fundaciones'!$B$13</definedName>
    <definedName name="for_0.09.03.F">'Fundaciones'!$B$25</definedName>
    <definedName name="for_0.09.04.F">'Fundaciones'!$B$37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'Aislaciones'!$B$2</definedName>
    <definedName name="for_0.24.00.F">'Revoques'!$B$2</definedName>
    <definedName name="for_0.24.50.F">'Revoques'!$B$14</definedName>
    <definedName name="for_0.24.51.F">'Revoques'!$B$26</definedName>
    <definedName name="for_0.24.70.F">'Revoques'!$B$38</definedName>
    <definedName name="for_0.27.00.A">'Solados'!$B$2</definedName>
    <definedName name="for_0.27.10.A">'Solados'!$B$13</definedName>
    <definedName name="for_0.27.20.A">'Solados'!$B$24</definedName>
    <definedName name="for_0.27.25.A">'Solados'!$B$36</definedName>
    <definedName name="for_0.27.30.A">'Solados'!$B$48</definedName>
    <definedName name="for_0.27.31.A">'Solados'!$B$59</definedName>
    <definedName name="for_0.27.40.A">'Solados'!$B$72</definedName>
    <definedName name="for_0.27.40.F">'Solados'!$B$82</definedName>
    <definedName name="for_0.27.41.F">'Solados'!$B$93</definedName>
    <definedName name="for_0.30.00.A">'Techos'!$B$2</definedName>
    <definedName name="for_0.30.01.A">'Techos'!$B$17</definedName>
    <definedName name="for_0.30.15.A">'Techos'!$B$32</definedName>
    <definedName name="for_0.30.30.A">'Techos'!$B$42</definedName>
    <definedName name="for_0.30.31.A">'Techos'!$B$52</definedName>
    <definedName name="for_0.30.45.A">'Techos'!$B$63</definedName>
    <definedName name="for_0.30.60.A">'Techos'!$B$80</definedName>
    <definedName name="for_0.30.61.A">'Techos'!$B$95</definedName>
    <definedName name="for_0.33.00.A">'Cielorrasos'!$B$2</definedName>
    <definedName name="for_0.33.05.A">'Cielorrasos'!$B$16</definedName>
    <definedName name="for_0.33.10.A">'Cielorrasos'!$B$31</definedName>
    <definedName name="for_0.33.15.A">'Cielorrasos'!$B$40</definedName>
    <definedName name="for_0.33.30.A">'Cielorrasos'!$B$50</definedName>
    <definedName name="for_0.33.35.A">'Cielorrasos'!$B$61</definedName>
    <definedName name="for_0.33.36.F">'Cielorrasos'!$B$70</definedName>
    <definedName name="for_0.36.30.A">'Revestimientos'!$B$2</definedName>
    <definedName name="for_0.36.40.A">'Revestimientos'!$B$11</definedName>
    <definedName name="for_0.39.00.A">'Carpintería'!$B$2</definedName>
    <definedName name="for_0.39.01.F">'Carpintería'!$B$15</definedName>
    <definedName name="for_0.39.02.F">'Carpintería'!$B$24</definedName>
    <definedName name="for_0.39.03.F">'Carpintería'!$B$35</definedName>
    <definedName name="for_0.39.04.F">'Carpintería'!$B$47</definedName>
    <definedName name="for_0.39.05.F">'Carpintería'!$B$56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'Pintura'!$B$2</definedName>
    <definedName name="for_0.72.20.A">'Pintura'!$B$14</definedName>
    <definedName name="for_0.72.30.A">'Pintura'!$B$25</definedName>
    <definedName name="for_0.72.40.A">'Pintura'!$B$36</definedName>
    <definedName name="for_0.72.41.F">'Pintura'!$B$48</definedName>
    <definedName name="for_0.72.42.F">'Pintura'!$B$58</definedName>
    <definedName name="for_0.72.50.F">'Pintura'!$B$69</definedName>
    <definedName name="for_0.78.00.A">'Vidrios'!$B$2</definedName>
    <definedName name="for_0.99.01.F">'Varios'!$B$2</definedName>
    <definedName name="for_0.99.02.F">'Varios'!$B$11</definedName>
    <definedName name="for_0.99.03.F">'Varios'!$B$20</definedName>
    <definedName name="for_0.99.04.F">'Varios'!$B$38</definedName>
    <definedName name="for_0.99.05.F">'Varios'!$B$48</definedName>
    <definedName name="for_0.99.06.F">'Varios'!$B$57</definedName>
    <definedName name="for_0.99.07.F">'Varios'!$B$66</definedName>
    <definedName name="for_0.99.08.F">'Varios'!$B$73</definedName>
    <definedName name="for_0.99.09.F">'Varios'!$B$81</definedName>
    <definedName name="for_0.99.10.F">'Varios'!$B$92</definedName>
    <definedName name="for_0.99.11.F">'Varios'!$B$101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'Equipos'!$Q$16</definedName>
    <definedName name="Imprimir_área_IM" localSheetId="7">'Aislaciones'!$A$1:$G$14</definedName>
    <definedName name="Imprimir_área_IM" localSheetId="13">'Carpintería'!$A$1:$G$34</definedName>
    <definedName name="Imprimir_área_IM" localSheetId="6">'Cerram ext int'!$A$1:$G$97</definedName>
    <definedName name="Imprimir_área_IM" localSheetId="11">'Cielorrasos'!$A$1:$G$68</definedName>
    <definedName name="Imprimir_área_IM" localSheetId="5">'Estr Resistente'!$A$1:$G$96</definedName>
    <definedName name="Imprimir_área_IM" localSheetId="4">'Fundaciones'!$A$1:$G$48</definedName>
    <definedName name="Imprimir_área_IM" localSheetId="16">'Inst Eléctrica'!$A$1:$G$42</definedName>
    <definedName name="Imprimir_área_IM" localSheetId="15">'Inst Gas'!$A$1:$G$53</definedName>
    <definedName name="Imprimir_área_IM" localSheetId="14">'Inst sanitaria'!$A$1:$G$98</definedName>
    <definedName name="Imprimir_área_IM" localSheetId="17">'Pintura'!$A$1:$G$78</definedName>
    <definedName name="Imprimir_área_IM" localSheetId="20">'Red de Agua'!$A$1:$G$19</definedName>
    <definedName name="Imprimir_área_IM" localSheetId="21">'Red de Cloaca'!#REF!</definedName>
    <definedName name="Imprimir_área_IM" localSheetId="23">'Red de Electricidad'!#REF!</definedName>
    <definedName name="Imprimir_área_IM" localSheetId="22">'Red de Gas'!#REF!</definedName>
    <definedName name="Imprimir_área_IM" localSheetId="24">'Red Vial'!#REF!</definedName>
    <definedName name="Imprimir_área_IM" localSheetId="12">'Revestimientos'!$A$1:$G$20</definedName>
    <definedName name="Imprimir_área_IM" localSheetId="8">'Revoques'!$A$1:$G$48</definedName>
    <definedName name="Imprimir_área_IM" localSheetId="9">'Solados'!$A$1:$G$104</definedName>
    <definedName name="Imprimir_área_IM" localSheetId="10">'Techos'!$A$1:$G$94</definedName>
    <definedName name="Imprimir_área_IM" localSheetId="19">'Varios'!$A$1:$G$22</definedName>
    <definedName name="Imprimir_área_IM" localSheetId="18">'Vidrios'!$A$1:$G$7</definedName>
    <definedName name="Imprimir_títulos_IM" localSheetId="1">'IN-04-14'!$1:$5</definedName>
    <definedName name="Insumos">'IN-04-14'!$A$5:$D$441</definedName>
    <definedName name="listado">'Resumen'!$B$4:$F$125</definedName>
    <definedName name="mixer_5m3">'Equipos'!$Q$13</definedName>
    <definedName name="motoniv">'Equipos'!$Q$9</definedName>
    <definedName name="pala_carg">'Equipos'!$Q$10</definedName>
    <definedName name="planchavib">'[1]Equipos'!$Q$20</definedName>
    <definedName name="planta_horm">'Equipos'!$Q$14</definedName>
    <definedName name="PRECIO">'IN-04-14'!$E$6:$E$238</definedName>
    <definedName name="reglavib">'[1]Equipos'!$Q$21</definedName>
    <definedName name="retro">'Equipos'!$Q$8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'Fundaciones'!$B$3</definedName>
    <definedName name="rfor_0.09.02.F">'Fundaciones'!$B$14</definedName>
    <definedName name="rfor_0.09.03.F">'Fundaciones'!$B$26</definedName>
    <definedName name="rfor_0.09.04.F">'Fundaciones'!$B$38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'Aislaciones'!$B$3</definedName>
    <definedName name="rfor_0.24.00.F">'Revoques'!$B$3</definedName>
    <definedName name="rfor_0.24.50.F">'Revoques'!$B$15</definedName>
    <definedName name="rfor_0.24.51.F">'Revoques'!$B$27</definedName>
    <definedName name="rfor_0.24.70.F">'Revoques'!$B$39</definedName>
    <definedName name="rfor_0.27.00.A">'Solados'!$B$3</definedName>
    <definedName name="rfor_0.27.10.A">'Solados'!$B$14</definedName>
    <definedName name="rfor_0.27.20.A">'Solados'!$B$25</definedName>
    <definedName name="rfor_0.27.25.A">'Solados'!$B$37</definedName>
    <definedName name="rfor_0.27.30.A">'Solados'!$B$49</definedName>
    <definedName name="rfor_0.27.31.A">'Solados'!$B$60</definedName>
    <definedName name="rfor_0.27.40.A">'Solados'!$B$73</definedName>
    <definedName name="rfor_0.27.40.F">'Solados'!$B$83</definedName>
    <definedName name="rfor_0.27.41.F">'Solados'!$B$94</definedName>
    <definedName name="rfor_0.30.00.A">'Techos'!$B$3</definedName>
    <definedName name="rfor_0.30.01.A">'Techos'!$B$18</definedName>
    <definedName name="rfor_0.30.15.A">'Techos'!$B$33</definedName>
    <definedName name="rfor_0.30.30.A">'Techos'!$B$43</definedName>
    <definedName name="rfor_0.30.31.A">'Techos'!$B$53</definedName>
    <definedName name="rfor_0.30.45.A">'Techos'!$B$64</definedName>
    <definedName name="rfor_0.30.60.A">'Techos'!$B$81</definedName>
    <definedName name="rfor_0.30.61.A">'Techos'!$B$96</definedName>
    <definedName name="rfor_0.33.00.A">'Cielorrasos'!$B$3</definedName>
    <definedName name="rfor_0.33.05.A">'Cielorrasos'!$B$17</definedName>
    <definedName name="rfor_0.33.10.A">'Cielorrasos'!$B$32</definedName>
    <definedName name="rfor_0.33.15.A">'Cielorrasos'!$B$41</definedName>
    <definedName name="rfor_0.33.30.A">'Cielorrasos'!$B$51</definedName>
    <definedName name="rfor_0.33.35.A">'Cielorrasos'!$B$62</definedName>
    <definedName name="rfor_0.33.36.F">'Cielorrasos'!$B$71</definedName>
    <definedName name="rfor_0.36.30.A">'Revestimientos'!$B$3</definedName>
    <definedName name="rfor_0.36.40.A">'Revestimientos'!$B$12</definedName>
    <definedName name="rfor_0.39.00.A">'Carpintería'!$B$3</definedName>
    <definedName name="rfor_0.39.01.F">'Carpintería'!$B$16</definedName>
    <definedName name="rfor_0.39.02.F">'Carpintería'!$B$25</definedName>
    <definedName name="rfor_0.39.03.F">'Carpintería'!$B$36</definedName>
    <definedName name="rfor_0.39.04.F">'Carpintería'!$B$48</definedName>
    <definedName name="rfor_0.39.05.F">'Carpintería'!$B$57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'Pintura'!$B$3</definedName>
    <definedName name="rfor_0.72.20.A">'Pintura'!$B$15</definedName>
    <definedName name="rfor_0.72.30.A">'Pintura'!$B$26</definedName>
    <definedName name="rfor_0.72.40.A">'Pintura'!$B$37</definedName>
    <definedName name="rfor_0.72.41.F">'Pintura'!$B$49</definedName>
    <definedName name="rfor_0.72.42.F">'Pintura'!$B$59</definedName>
    <definedName name="rfor_0.72.50.F">'Pintura'!$B$70</definedName>
    <definedName name="rfor_0.78.00.A">'Vidrios'!$B$3</definedName>
    <definedName name="rfor_0.99.01.F">'Varios'!$B$3</definedName>
    <definedName name="rfor_0.99.02.F">'Varios'!$B$12</definedName>
    <definedName name="rfor_0.99.03.F">'Varios'!$B$21</definedName>
    <definedName name="rfor_0.99.04.F">'Varios'!$B$39</definedName>
    <definedName name="rfor_0.99.05.F">'Varios'!$B$49</definedName>
    <definedName name="rfor_0.99.06.F">'Varios'!$B$58</definedName>
    <definedName name="rfor_0.99.07.F">'Varios'!$B$67</definedName>
    <definedName name="rfor_0.99.08.F">'Varios'!$B$74</definedName>
    <definedName name="rfor_0.99.09.F">'Varios'!$B$82</definedName>
    <definedName name="rfor_0.99.10.F">'Varios'!$B$93</definedName>
    <definedName name="rfor_0.99.11.F">'Varios'!$B$102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'Equipos'!$Q$11</definedName>
    <definedName name="rodillodetiro">'[1]Equipos'!$Q$22</definedName>
    <definedName name="rodillopatacabraarr">'[1]Equipos'!$Q$23</definedName>
    <definedName name="rodillovibrarrast">'[1]Equipos'!$Q$24</definedName>
    <definedName name="tanqueacoplado">'[1]Equipos'!$Q$25</definedName>
    <definedName name="_xlnm.Print_Titles" localSheetId="1">'IN-04-14'!$1:$5</definedName>
    <definedName name="_xlnm.Print_Titles" localSheetId="0">'Resumen'!$1:$4</definedName>
    <definedName name="topadora">'Equipos'!$Q$15</definedName>
    <definedName name="topadora_d8k">'Equipos'!$Q$15</definedName>
    <definedName name="tractorengom">'[1]Equipos'!$Q$26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'Fundaciones'!$G$3</definedName>
    <definedName name="ufor_0.09.02.F">'Fundaciones'!$G$14</definedName>
    <definedName name="ufor_0.09.03.F">'Fundaciones'!$G$26</definedName>
    <definedName name="ufor_0.09.04.F">'Fundaciones'!$G$38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'Aislaciones'!$G$3</definedName>
    <definedName name="ufor_0.24.00.F">'Revoques'!$G$3</definedName>
    <definedName name="ufor_0.24.50.F">'Revoques'!$G$15</definedName>
    <definedName name="ufor_0.24.51.F">'Revoques'!$G$27</definedName>
    <definedName name="ufor_0.24.70.F">'Revoques'!$G$39</definedName>
    <definedName name="ufor_0.27.00.A">'Solados'!$G$3</definedName>
    <definedName name="ufor_0.27.10.A">'Solados'!$G$14</definedName>
    <definedName name="ufor_0.27.20.A">'Solados'!$G$25</definedName>
    <definedName name="ufor_0.27.25.A">'Solados'!$G$37</definedName>
    <definedName name="ufor_0.27.30.A">'Solados'!$G$49</definedName>
    <definedName name="ufor_0.27.31.A">'Solados'!$G$60</definedName>
    <definedName name="ufor_0.27.40.A">'Solados'!$G$73</definedName>
    <definedName name="ufor_0.27.40.F">'Solados'!$G$83</definedName>
    <definedName name="ufor_0.27.41.F">'Solados'!$G$94</definedName>
    <definedName name="ufor_0.30.00.A">'Techos'!$G$3</definedName>
    <definedName name="ufor_0.30.01.A">'Techos'!$G$18</definedName>
    <definedName name="ufor_0.30.15.A">'Techos'!$G$33</definedName>
    <definedName name="ufor_0.30.30.A">'Techos'!$G$43</definedName>
    <definedName name="ufor_0.30.31.A">'Techos'!$G$53</definedName>
    <definedName name="ufor_0.30.45.A">'Techos'!$G$64</definedName>
    <definedName name="ufor_0.30.60.A">'Techos'!$G$81</definedName>
    <definedName name="ufor_0.30.61.A">'Techos'!$G$96</definedName>
    <definedName name="ufor_0.33.00.A">'Cielorrasos'!$G$3</definedName>
    <definedName name="ufor_0.33.05.A">'Cielorrasos'!$G$17</definedName>
    <definedName name="ufor_0.33.10.A">'Cielorrasos'!$G$32</definedName>
    <definedName name="ufor_0.33.15.A">'Cielorrasos'!$G$41</definedName>
    <definedName name="ufor_0.33.30.A">'Cielorrasos'!$G$51</definedName>
    <definedName name="ufor_0.33.35.A">'Cielorrasos'!$G$62</definedName>
    <definedName name="ufor_0.33.36.F">'Cielorrasos'!$G$71</definedName>
    <definedName name="ufor_0.36.30.A">'Revestimientos'!$G$3</definedName>
    <definedName name="ufor_0.36.40.A">'Revestimientos'!$G$12</definedName>
    <definedName name="ufor_0.39.00.A">'Carpintería'!$G$3</definedName>
    <definedName name="ufor_0.39.01.F">'Carpintería'!$G$16</definedName>
    <definedName name="ufor_0.39.02.F">'Carpintería'!$G$25</definedName>
    <definedName name="ufor_0.39.03.F">'Carpintería'!$G$36</definedName>
    <definedName name="ufor_0.39.04.F">'Carpintería'!$G$48</definedName>
    <definedName name="ufor_0.39.05.F">'Carpintería'!$G$57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'Pintura'!$G$3</definedName>
    <definedName name="ufor_0.72.20.A">'Pintura'!$G$15</definedName>
    <definedName name="ufor_0.72.30.A">'Pintura'!$G$26</definedName>
    <definedName name="ufor_0.72.40.A">'Pintura'!$G$37</definedName>
    <definedName name="ufor_0.72.41.F">'Pintura'!$G$49</definedName>
    <definedName name="ufor_0.72.42.F">'Pintura'!$G$59</definedName>
    <definedName name="ufor_0.72.50.F">'Pintura'!$G$70</definedName>
    <definedName name="ufor_0.78.00.A">'Vidrios'!$G$3</definedName>
    <definedName name="ufor_0.99.01.F">'Varios'!$G$3</definedName>
    <definedName name="ufor_0.99.02.F">'Varios'!$G$12</definedName>
    <definedName name="ufor_0.99.03.F">'Varios'!$G$21</definedName>
    <definedName name="ufor_0.99.04.F">'Varios'!$G$39</definedName>
    <definedName name="ufor_0.99.05.F">'Varios'!$G$49</definedName>
    <definedName name="ufor_0.99.06.F">'Varios'!$G$58</definedName>
    <definedName name="ufor_0.99.07.F">'Varios'!$G$67</definedName>
    <definedName name="ufor_0.99.08.F">'Varios'!$G$74</definedName>
    <definedName name="ufor_0.99.09.F">'Varios'!$G$82</definedName>
    <definedName name="ufor_0.99.10.F">'Varios'!$G$93</definedName>
    <definedName name="ufor_0.99.11.F">'Varios'!$G$102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'IN-04-14'!$C$6:$C$238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'Fundaciones'!$F$2</definedName>
    <definedName name="vfor_0.09.02.F">'Fundaciones'!$F$13</definedName>
    <definedName name="vfor_0.09.03.F">'Fundaciones'!$F$25</definedName>
    <definedName name="vfor_0.09.04.F">'Fundaciones'!$F$37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'Aislaciones'!$F$2</definedName>
    <definedName name="vfor_0.24.00.F">'Revoques'!$F$2</definedName>
    <definedName name="vfor_0.24.50.F">'Revoques'!$F$14</definedName>
    <definedName name="vfor_0.24.51.F">'Revoques'!$F$26</definedName>
    <definedName name="vfor_0.24.70.F">'Revoques'!$F$38</definedName>
    <definedName name="vfor_0.27.00.A">'Solados'!$F$2</definedName>
    <definedName name="vfor_0.27.10.A">'Solados'!$F$13</definedName>
    <definedName name="vfor_0.27.20.A">'Solados'!$F$24</definedName>
    <definedName name="vfor_0.27.25.A">'Solados'!$F$36</definedName>
    <definedName name="vfor_0.27.30.A">'Solados'!$F$48</definedName>
    <definedName name="vfor_0.27.31.A">'Solados'!$F$59</definedName>
    <definedName name="vfor_0.27.40.A">'Solados'!$F$72</definedName>
    <definedName name="vfor_0.27.40.F">'Solados'!$F$82</definedName>
    <definedName name="vfor_0.27.41.F">'Solados'!$F$93</definedName>
    <definedName name="vfor_0.30.00.A">'Techos'!$F$2</definedName>
    <definedName name="vfor_0.30.01.A">'Techos'!$F$17</definedName>
    <definedName name="vfor_0.30.15.A">'Techos'!$F$32</definedName>
    <definedName name="vfor_0.30.30.A">'Techos'!$F$42</definedName>
    <definedName name="vfor_0.30.31.A">'Techos'!$F$52</definedName>
    <definedName name="vfor_0.30.45.A">'Techos'!$F$63</definedName>
    <definedName name="vfor_0.30.60.A">'Techos'!$F$80</definedName>
    <definedName name="vfor_0.30.61.A">'Techos'!$F$95</definedName>
    <definedName name="vfor_0.33.00.A">'Cielorrasos'!$F$2</definedName>
    <definedName name="vfor_0.33.05.A">'Cielorrasos'!$F$16</definedName>
    <definedName name="vfor_0.33.10.A">'Cielorrasos'!$F$31</definedName>
    <definedName name="vfor_0.33.15.A">'Cielorrasos'!$F$40</definedName>
    <definedName name="vfor_0.33.30.A">'Cielorrasos'!$F$50</definedName>
    <definedName name="vfor_0.33.35.A">'Cielorrasos'!$F$61</definedName>
    <definedName name="vfor_0.33.36.F">'Cielorrasos'!$F$70</definedName>
    <definedName name="vfor_0.36.30.A">'Revestimientos'!$F$2</definedName>
    <definedName name="vfor_0.36.40.A">'Revestimientos'!$F$11</definedName>
    <definedName name="vfor_0.39.00.A">'Carpintería'!$F$2</definedName>
    <definedName name="vfor_0.39.01.F">'Carpintería'!$F$15</definedName>
    <definedName name="vfor_0.39.02.F">'Carpintería'!$F$24</definedName>
    <definedName name="vfor_0.39.03.F">'Carpintería'!$F$35</definedName>
    <definedName name="vfor_0.39.04.F">'Carpintería'!$F$47</definedName>
    <definedName name="vfor_0.39.05.F">'Carpintería'!$F$56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'Pintura'!$F$2</definedName>
    <definedName name="vfor_0.72.20.A">'Pintura'!$F$14</definedName>
    <definedName name="vfor_0.72.30.A">'Pintura'!$F$25</definedName>
    <definedName name="vfor_0.72.40.A">'Pintura'!$F$36</definedName>
    <definedName name="vfor_0.72.41.F">'Pintura'!$F$48</definedName>
    <definedName name="vfor_0.72.42.F">'Pintura'!$F$58</definedName>
    <definedName name="vfor_0.72.50.F">'Pintura'!$F$69</definedName>
    <definedName name="vfor_0.78.00.A">'Vidrios'!$F$2</definedName>
    <definedName name="vfor_0.99.01.F">'Varios'!$F$2</definedName>
    <definedName name="vfor_0.99.02.F">'Varios'!$F$11</definedName>
    <definedName name="vfor_0.99.03.F">'Varios'!$F$20</definedName>
    <definedName name="vfor_0.99.04.F">'Varios'!$F$38</definedName>
    <definedName name="vfor_0.99.05.F">'Varios'!$F$48</definedName>
    <definedName name="vfor_0.99.06.F">'Varios'!$F$57</definedName>
    <definedName name="vfor_0.99.07.F">'Varios'!$F$66</definedName>
    <definedName name="vfor_0.99.08.F">'Varios'!$F$73</definedName>
    <definedName name="vfor_0.99.09.F">'Varios'!$F$81</definedName>
    <definedName name="vfor_0.99.10.F">'Varios'!$F$92</definedName>
    <definedName name="vfor_0.99.11.F">'Varios'!$F$101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'[1]Equipos'!$Q$27</definedName>
    <definedName name="vibrocom_autop">'Equipos'!$Q$12</definedName>
    <definedName name="Z_09545CA5_E1C8_49BD_AE60_33D558E425F1_.wvu.FilterData" localSheetId="1" hidden="1">'IN-04-14'!$A$1:$E$238</definedName>
    <definedName name="Z_0D76B64C_AC04_4788_917D_4511FD9E9090_.wvu.Cols" localSheetId="7" hidden="1">'Aislaciones'!#REF!</definedName>
    <definedName name="Z_0D76B64C_AC04_4788_917D_4511FD9E9090_.wvu.Cols" localSheetId="13" hidden="1">'Carpintería'!#REF!</definedName>
    <definedName name="Z_0D76B64C_AC04_4788_917D_4511FD9E9090_.wvu.Cols" localSheetId="6" hidden="1">'Cerram ext int'!#REF!</definedName>
    <definedName name="Z_0D76B64C_AC04_4788_917D_4511FD9E9090_.wvu.Cols" localSheetId="11" hidden="1">'Cielorrasos'!#REF!</definedName>
    <definedName name="Z_0D76B64C_AC04_4788_917D_4511FD9E9090_.wvu.Cols" localSheetId="5" hidden="1">'Estr Resistente'!#REF!</definedName>
    <definedName name="Z_0D76B64C_AC04_4788_917D_4511FD9E9090_.wvu.Cols" localSheetId="4" hidden="1">'Fundaciones'!#REF!</definedName>
    <definedName name="Z_0D76B64C_AC04_4788_917D_4511FD9E9090_.wvu.Cols" localSheetId="16" hidden="1">'Inst Eléctrica'!#REF!</definedName>
    <definedName name="Z_0D76B64C_AC04_4788_917D_4511FD9E9090_.wvu.Cols" localSheetId="15" hidden="1">'Inst Gas'!#REF!</definedName>
    <definedName name="Z_0D76B64C_AC04_4788_917D_4511FD9E9090_.wvu.Cols" localSheetId="14" hidden="1">'Inst sanitaria'!#REF!</definedName>
    <definedName name="Z_0D76B64C_AC04_4788_917D_4511FD9E9090_.wvu.Cols" localSheetId="3" hidden="1">'Mov. Tierra'!#REF!</definedName>
    <definedName name="Z_0D76B64C_AC04_4788_917D_4511FD9E9090_.wvu.Cols" localSheetId="17" hidden="1">'Pintura'!#REF!</definedName>
    <definedName name="Z_0D76B64C_AC04_4788_917D_4511FD9E9090_.wvu.Cols" localSheetId="20" hidden="1">'Red de Agua'!#REF!</definedName>
    <definedName name="Z_0D76B64C_AC04_4788_917D_4511FD9E9090_.wvu.Cols" localSheetId="21" hidden="1">'Red de Cloaca'!#REF!</definedName>
    <definedName name="Z_0D76B64C_AC04_4788_917D_4511FD9E9090_.wvu.Cols" localSheetId="23" hidden="1">'Red de Electricidad'!#REF!</definedName>
    <definedName name="Z_0D76B64C_AC04_4788_917D_4511FD9E9090_.wvu.Cols" localSheetId="22" hidden="1">'Red de Gas'!#REF!</definedName>
    <definedName name="Z_0D76B64C_AC04_4788_917D_4511FD9E9090_.wvu.Cols" localSheetId="24" hidden="1">'Red Vial'!#REF!</definedName>
    <definedName name="Z_0D76B64C_AC04_4788_917D_4511FD9E9090_.wvu.Cols" localSheetId="12" hidden="1">'Revestimientos'!#REF!</definedName>
    <definedName name="Z_0D76B64C_AC04_4788_917D_4511FD9E9090_.wvu.Cols" localSheetId="8" hidden="1">'Revoques'!#REF!</definedName>
    <definedName name="Z_0D76B64C_AC04_4788_917D_4511FD9E9090_.wvu.Cols" localSheetId="9" hidden="1">'Solados'!#REF!</definedName>
    <definedName name="Z_0D76B64C_AC04_4788_917D_4511FD9E9090_.wvu.Cols" localSheetId="10" hidden="1">'Techos'!#REF!</definedName>
    <definedName name="Z_0D76B64C_AC04_4788_917D_4511FD9E9090_.wvu.Cols" localSheetId="19" hidden="1">'Varios'!#REF!</definedName>
    <definedName name="Z_0D76B64C_AC04_4788_917D_4511FD9E9090_.wvu.Cols" localSheetId="18" hidden="1">'Vidrios'!#REF!</definedName>
    <definedName name="Z_0D76B64C_AC04_4788_917D_4511FD9E9090_.wvu.FilterData" localSheetId="1" hidden="1">'IN-04-14'!$A$1:$E$238</definedName>
    <definedName name="Z_0D76B64C_AC04_4788_917D_4511FD9E9090_.wvu.PrintArea" localSheetId="7" hidden="1">'Aislaciones'!$A$1:$G$14</definedName>
    <definedName name="Z_0D76B64C_AC04_4788_917D_4511FD9E9090_.wvu.PrintArea" localSheetId="13" hidden="1">'Carpintería'!$A$1:$G$34</definedName>
    <definedName name="Z_0D76B64C_AC04_4788_917D_4511FD9E9090_.wvu.PrintArea" localSheetId="6" hidden="1">'Cerram ext int'!$A$1:$G$97</definedName>
    <definedName name="Z_0D76B64C_AC04_4788_917D_4511FD9E9090_.wvu.PrintArea" localSheetId="11" hidden="1">'Cielorrasos'!$A$1:$G$68</definedName>
    <definedName name="Z_0D76B64C_AC04_4788_917D_4511FD9E9090_.wvu.PrintArea" localSheetId="5" hidden="1">'Estr Resistente'!$A$1:$G$96</definedName>
    <definedName name="Z_0D76B64C_AC04_4788_917D_4511FD9E9090_.wvu.PrintArea" localSheetId="4" hidden="1">'Fundaciones'!$A$1:$G$48</definedName>
    <definedName name="Z_0D76B64C_AC04_4788_917D_4511FD9E9090_.wvu.PrintArea" localSheetId="1" hidden="1">'IN-04-14'!$A$1:$E$238</definedName>
    <definedName name="Z_0D76B64C_AC04_4788_917D_4511FD9E9090_.wvu.PrintArea" localSheetId="16" hidden="1">'Inst Eléctrica'!$A$1:$G$42</definedName>
    <definedName name="Z_0D76B64C_AC04_4788_917D_4511FD9E9090_.wvu.PrintArea" localSheetId="15" hidden="1">'Inst Gas'!$A$1:$G$53</definedName>
    <definedName name="Z_0D76B64C_AC04_4788_917D_4511FD9E9090_.wvu.PrintArea" localSheetId="14" hidden="1">'Inst sanitaria'!$A$1:$G$98</definedName>
    <definedName name="Z_0D76B64C_AC04_4788_917D_4511FD9E9090_.wvu.PrintArea" localSheetId="17" hidden="1">'Pintura'!$A$1:$G$78</definedName>
    <definedName name="Z_0D76B64C_AC04_4788_917D_4511FD9E9090_.wvu.PrintArea" localSheetId="20" hidden="1">'Red de Agua'!$A$1:$G$31</definedName>
    <definedName name="Z_0D76B64C_AC04_4788_917D_4511FD9E9090_.wvu.PrintArea" localSheetId="21" hidden="1">'Red de Cloaca'!$A$1:$G$32</definedName>
    <definedName name="Z_0D76B64C_AC04_4788_917D_4511FD9E9090_.wvu.PrintArea" localSheetId="23" hidden="1">'Red de Electricidad'!#REF!</definedName>
    <definedName name="Z_0D76B64C_AC04_4788_917D_4511FD9E9090_.wvu.PrintArea" localSheetId="22" hidden="1">'Red de Gas'!$A$1:$G$26</definedName>
    <definedName name="Z_0D76B64C_AC04_4788_917D_4511FD9E9090_.wvu.PrintArea" localSheetId="24" hidden="1">'Red Vial'!$A$1:$G$27</definedName>
    <definedName name="Z_0D76B64C_AC04_4788_917D_4511FD9E9090_.wvu.PrintArea" localSheetId="12" hidden="1">'Revestimientos'!$A$1:$G$20</definedName>
    <definedName name="Z_0D76B64C_AC04_4788_917D_4511FD9E9090_.wvu.PrintArea" localSheetId="8" hidden="1">'Revoques'!$A$1:$G$48</definedName>
    <definedName name="Z_0D76B64C_AC04_4788_917D_4511FD9E9090_.wvu.PrintArea" localSheetId="9" hidden="1">'Solados'!$A$1:$G$104</definedName>
    <definedName name="Z_0D76B64C_AC04_4788_917D_4511FD9E9090_.wvu.PrintArea" localSheetId="10" hidden="1">'Techos'!$A$1:$G$94</definedName>
    <definedName name="Z_0D76B64C_AC04_4788_917D_4511FD9E9090_.wvu.PrintArea" localSheetId="19" hidden="1">'Varios'!$A$20:$G$46</definedName>
    <definedName name="Z_0D76B64C_AC04_4788_917D_4511FD9E9090_.wvu.PrintArea" localSheetId="18" hidden="1">'Vidrios'!$A$1:$G$7</definedName>
    <definedName name="Z_0D76B64C_AC04_4788_917D_4511FD9E9090_.wvu.PrintTitles" localSheetId="1" hidden="1">'IN-04-14'!$1:$5</definedName>
    <definedName name="Z_D8392041_DA66_4755_A670_C1D45774EC77_.wvu.Cols" localSheetId="1" hidden="1">'IN-04-14'!$E:$O</definedName>
    <definedName name="Z_D8392041_DA66_4755_A670_C1D45774EC77_.wvu.Cols" localSheetId="0" hidden="1">'Resumen'!$G:$G</definedName>
    <definedName name="Z_D8392041_DA66_4755_A670_C1D45774EC77_.wvu.FilterData" localSheetId="1" hidden="1">'IN-04-14'!$A$1:$E$238</definedName>
    <definedName name="Z_D8392041_DA66_4755_A670_C1D45774EC77_.wvu.PrintArea" localSheetId="7" hidden="1">'Aislaciones'!$A$1:$G$14</definedName>
    <definedName name="Z_D8392041_DA66_4755_A670_C1D45774EC77_.wvu.PrintArea" localSheetId="13" hidden="1">'Carpintería'!$A$1:$G$64</definedName>
    <definedName name="Z_D8392041_DA66_4755_A670_C1D45774EC77_.wvu.PrintArea" localSheetId="6" hidden="1">'Cerram ext int'!$A$1:$G$97</definedName>
    <definedName name="Z_D8392041_DA66_4755_A670_C1D45774EC77_.wvu.PrintArea" localSheetId="11" hidden="1">'Cielorrasos'!$A$1:$G$68</definedName>
    <definedName name="Z_D8392041_DA66_4755_A670_C1D45774EC77_.wvu.PrintArea" localSheetId="2" hidden="1">'Equipos'!$A$4:$Q$15</definedName>
    <definedName name="Z_D8392041_DA66_4755_A670_C1D45774EC77_.wvu.PrintArea" localSheetId="5" hidden="1">'Estr Resistente'!$A$1:$G$96</definedName>
    <definedName name="Z_D8392041_DA66_4755_A670_C1D45774EC77_.wvu.PrintArea" localSheetId="4" hidden="1">'Fundaciones'!$A$1:$G$48</definedName>
    <definedName name="Z_D8392041_DA66_4755_A670_C1D45774EC77_.wvu.PrintArea" localSheetId="1" hidden="1">'IN-04-14'!$A$1:$G$441</definedName>
    <definedName name="Z_D8392041_DA66_4755_A670_C1D45774EC77_.wvu.PrintArea" localSheetId="16" hidden="1">'Inst Eléctrica'!$A$44:$H$92</definedName>
    <definedName name="Z_D8392041_DA66_4755_A670_C1D45774EC77_.wvu.PrintArea" localSheetId="15" hidden="1">'Inst Gas'!$A$1:$G$53</definedName>
    <definedName name="Z_D8392041_DA66_4755_A670_C1D45774EC77_.wvu.PrintArea" localSheetId="14" hidden="1">'Inst sanitaria'!$A$231:$H$231</definedName>
    <definedName name="Z_D8392041_DA66_4755_A670_C1D45774EC77_.wvu.PrintArea" localSheetId="17" hidden="1">'Pintura'!$A$1:$G$78</definedName>
    <definedName name="Z_D8392041_DA66_4755_A670_C1D45774EC77_.wvu.PrintArea" localSheetId="20" hidden="1">'Red de Agua'!$A$1:$G$44</definedName>
    <definedName name="Z_D8392041_DA66_4755_A670_C1D45774EC77_.wvu.PrintArea" localSheetId="21" hidden="1">'Red de Cloaca'!$A$1:$G$32</definedName>
    <definedName name="Z_D8392041_DA66_4755_A670_C1D45774EC77_.wvu.PrintArea" localSheetId="22" hidden="1">'Red de Gas'!$A$1:$G$26</definedName>
    <definedName name="Z_D8392041_DA66_4755_A670_C1D45774EC77_.wvu.PrintArea" localSheetId="24" hidden="1">'Red Vial'!$A$15:$I$46</definedName>
    <definedName name="Z_D8392041_DA66_4755_A670_C1D45774EC77_.wvu.PrintArea" localSheetId="12" hidden="1">'Revestimientos'!$A$1:$G$20</definedName>
    <definedName name="Z_D8392041_DA66_4755_A670_C1D45774EC77_.wvu.PrintArea" localSheetId="8" hidden="1">'Revoques'!$A$1:$G$48</definedName>
    <definedName name="Z_D8392041_DA66_4755_A670_C1D45774EC77_.wvu.PrintArea" localSheetId="9" hidden="1">'Solados'!$A$1:$G$104</definedName>
    <definedName name="Z_D8392041_DA66_4755_A670_C1D45774EC77_.wvu.PrintArea" localSheetId="10" hidden="1">'Techos'!$A$1:$G$94</definedName>
    <definedName name="Z_D8392041_DA66_4755_A670_C1D45774EC77_.wvu.PrintArea" localSheetId="19" hidden="1">'Varios'!$A$20:$G$46</definedName>
    <definedName name="Z_D8392041_DA66_4755_A670_C1D45774EC77_.wvu.PrintArea" localSheetId="18" hidden="1">'Vidrios'!$A$1:$G$7</definedName>
    <definedName name="Z_D8392041_DA66_4755_A670_C1D45774EC77_.wvu.Rows" localSheetId="1" hidden="1">'IN-04-14'!$28:$28,'IN-04-14'!$50:$50,'IN-04-14'!$57:$57,'IN-04-14'!$88:$90,'IN-04-14'!$93:$95,'IN-04-14'!$99:$99,'IN-04-14'!$101:$101,'IN-04-14'!$103:$104,'IN-04-14'!$107:$107,'IN-04-14'!$132:$132,'IN-04-14'!$134:$134,'IN-04-14'!$136:$136,'IN-04-14'!$138:$138,'IN-04-14'!$140:$140,'IN-04-14'!$142:$142,'IN-04-14'!$144:$144,'IN-04-14'!$146:$146,'IN-04-14'!$148:$148,'IN-04-14'!$150:$150,'IN-04-14'!$152:$152,'IN-04-14'!$154:$154,'IN-04-14'!$156:$156,'IN-04-14'!$158:$158,'IN-04-14'!$160:$160,'IN-04-14'!$162:$162,'IN-04-14'!$164:$164,'IN-04-14'!$166:$166,'IN-04-14'!$168:$168,'IN-04-14'!$170:$170,'IN-04-14'!$173:$173,'IN-04-14'!$175:$175,'IN-04-14'!$177:$177,'IN-04-14'!$179:$179,'IN-04-14'!$181:$181,'IN-04-14'!$183:$183,'IN-04-14'!$185:$185,'IN-04-14'!$220:$224,'IN-04-14'!$227:$229,'IN-04-14'!$231:$231,'IN-04-14'!$251:$251,'IN-04-14'!$343:$347,'IN-04-14'!$355:$356,'IN-04-14'!$368:$368,'IN-04-14'!$409:$410,'IN-04-14'!$415:$415,'IN-04-14'!$426:$428,'IN-04-14'!$442:$443</definedName>
  </definedNames>
  <calcPr fullCalcOnLoad="1"/>
</workbook>
</file>

<file path=xl/comments2.xml><?xml version="1.0" encoding="utf-8"?>
<comments xmlns="http://schemas.openxmlformats.org/spreadsheetml/2006/main">
  <authors>
    <author>Pablo Daniel Gutierrez</author>
    <author>SOP</author>
    <author>Javier Borelli</author>
  </authors>
  <commentList>
    <comment ref="G390" authorId="0">
      <text>
        <r>
          <rPr>
            <b/>
            <sz val="8"/>
            <rFont val="Tahoma"/>
            <family val="2"/>
          </rPr>
          <t xml:space="preserve">Cotiza CEAR
</t>
        </r>
      </text>
    </comment>
    <comment ref="G368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I369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G315" authorId="2">
      <text>
        <r>
          <rPr>
            <b/>
            <sz val="8"/>
            <rFont val="Tahoma"/>
            <family val="2"/>
          </rPr>
          <t>Javier Borelli:</t>
        </r>
        <r>
          <rPr>
            <sz val="8"/>
            <rFont val="Tahoma"/>
            <family val="2"/>
          </rPr>
          <t xml:space="preserve">
1,03433 es la variac. de dólar con respecto a Julio.</t>
        </r>
      </text>
    </comment>
  </commentList>
</comments>
</file>

<file path=xl/sharedStrings.xml><?xml version="1.0" encoding="utf-8"?>
<sst xmlns="http://schemas.openxmlformats.org/spreadsheetml/2006/main" count="5072" uniqueCount="2039">
  <si>
    <t>planta eleboradora de hormigón</t>
  </si>
  <si>
    <t>eq.022</t>
  </si>
  <si>
    <t>enlame</t>
  </si>
  <si>
    <t>arena mediana</t>
  </si>
  <si>
    <t>eq.024</t>
  </si>
  <si>
    <t>$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</si>
  <si>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</si>
  <si>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</si>
  <si>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</si>
  <si>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</si>
  <si>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</si>
  <si>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</si>
  <si>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</si>
  <si>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</si>
  <si>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</si>
  <si>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</si>
  <si>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</si>
  <si>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</si>
  <si>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</si>
  <si>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</si>
  <si>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</si>
  <si>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</si>
  <si>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</si>
  <si>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</si>
  <si>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</si>
  <si>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</si>
  <si>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</si>
  <si>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</si>
  <si>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</si>
  <si>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</si>
  <si>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</si>
  <si>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</si>
  <si>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</si>
  <si>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</si>
  <si>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</si>
  <si>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</si>
  <si>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</si>
  <si>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</si>
  <si>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</si>
  <si>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</si>
  <si>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</si>
  <si>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ai.001</t>
  </si>
  <si>
    <t>membrana geotextil (150gr/m2)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</si>
  <si>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</si>
  <si>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</si>
  <si>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</si>
  <si>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</si>
  <si>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</si>
  <si>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</si>
  <si>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</si>
  <si>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</si>
  <si>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</si>
  <si>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</si>
  <si>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</si>
  <si>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</si>
  <si>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</si>
  <si>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</si>
  <si>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</si>
  <si>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</si>
  <si>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</si>
  <si>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</si>
  <si>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</si>
  <si>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</si>
  <si>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</si>
  <si>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</si>
  <si>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</si>
  <si>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</si>
  <si>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</si>
  <si>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</si>
  <si>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</si>
  <si>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</si>
  <si>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</si>
  <si>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</si>
  <si>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</si>
  <si>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</si>
  <si>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</si>
  <si>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</si>
  <si>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</si>
  <si>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</si>
  <si>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</si>
  <si>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</si>
  <si>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</si>
  <si>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</si>
  <si>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</si>
  <si>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</si>
  <si>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</si>
  <si>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</si>
  <si>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</si>
  <si>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</si>
  <si>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</si>
  <si>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</si>
  <si>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</si>
  <si>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</si>
  <si>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</si>
  <si>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</si>
  <si>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</si>
  <si>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</si>
  <si>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</si>
  <si>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</si>
  <si>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</si>
  <si>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</si>
  <si>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</si>
  <si>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ramal Deriv. Gas E/F PE80 63x50mm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</si>
  <si>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</si>
  <si>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</si>
  <si>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</si>
  <si>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</si>
  <si>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</si>
  <si>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</si>
  <si>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</si>
  <si>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</si>
  <si>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</si>
  <si>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</si>
  <si>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</si>
  <si>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</si>
  <si>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</si>
  <si>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</si>
  <si>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</si>
  <si>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</si>
  <si>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</si>
  <si>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</si>
  <si>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</si>
  <si>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</si>
  <si>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</si>
  <si>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</si>
  <si>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</si>
  <si>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</si>
  <si>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</si>
  <si>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</si>
  <si>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</si>
  <si>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</si>
  <si>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</si>
  <si>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</si>
  <si>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</si>
  <si>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</si>
  <si>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</si>
  <si>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</si>
  <si>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</si>
  <si>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</si>
  <si>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</si>
  <si>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</si>
  <si>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</si>
  <si>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</si>
  <si>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</si>
  <si>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</si>
  <si>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</si>
  <si>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</si>
  <si>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</si>
  <si>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</si>
  <si>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</si>
  <si>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</si>
  <si>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</si>
  <si>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</si>
  <si>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</si>
  <si>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</si>
  <si>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</si>
  <si>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</si>
  <si>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</si>
  <si>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rg.024</t>
  </si>
  <si>
    <t>ra.030</t>
  </si>
  <si>
    <t>ra.032</t>
  </si>
  <si>
    <t>rg.028</t>
  </si>
  <si>
    <t>rg.030</t>
  </si>
  <si>
    <t>ra.034</t>
  </si>
  <si>
    <t>sa.223</t>
  </si>
  <si>
    <t>eq.050</t>
  </si>
  <si>
    <t>eq.030</t>
  </si>
  <si>
    <t>eq.040</t>
  </si>
  <si>
    <t>eq.048</t>
  </si>
  <si>
    <t>eq.052</t>
  </si>
  <si>
    <t>eq.054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</si>
  <si>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</si>
  <si>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</si>
  <si>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</si>
  <si>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</si>
  <si>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</si>
  <si>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</si>
  <si>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</si>
  <si>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</si>
  <si>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</si>
  <si>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</si>
  <si>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</si>
  <si>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</si>
  <si>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</si>
  <si>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</si>
  <si>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</si>
  <si>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</si>
  <si>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</si>
  <si>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</si>
  <si>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</si>
  <si>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</si>
  <si>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</si>
  <si>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</si>
  <si>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</si>
  <si>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</si>
  <si>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</si>
  <si>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</si>
  <si>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</si>
  <si>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</si>
  <si>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</si>
  <si>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</si>
  <si>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</si>
  <si>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</si>
  <si>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</si>
  <si>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</si>
  <si>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</si>
  <si>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</si>
  <si>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</si>
  <si>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</si>
  <si>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</si>
  <si>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</si>
  <si>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</si>
  <si>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</si>
  <si>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</si>
  <si>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</si>
  <si>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</si>
  <si>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</si>
  <si>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</si>
  <si>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</si>
  <si>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</si>
  <si>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</si>
  <si>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</si>
  <si>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</si>
  <si>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</si>
  <si>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</si>
  <si>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</si>
  <si>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</si>
  <si>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</si>
  <si>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</si>
  <si>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</si>
  <si>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</si>
  <si>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</si>
  <si>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</si>
  <si>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</si>
  <si>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</si>
  <si>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</si>
  <si>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</si>
  <si>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</si>
  <si>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</si>
  <si>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</si>
  <si>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</si>
  <si>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</si>
  <si>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</si>
  <si>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</si>
  <si>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</si>
  <si>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</si>
  <si>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</si>
  <si>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</si>
  <si>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</si>
  <si>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</si>
  <si>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</si>
  <si>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</si>
  <si>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</si>
  <si>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</si>
  <si>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</si>
  <si>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</si>
  <si>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</si>
  <si>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</si>
  <si>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</si>
  <si>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</si>
  <si>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</si>
  <si>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</si>
  <si>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</si>
  <si>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</si>
  <si>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</si>
  <si>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</si>
  <si>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</si>
  <si>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</si>
  <si>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</si>
  <si>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</si>
  <si>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</si>
  <si>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</si>
  <si>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</si>
  <si>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</si>
  <si>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</si>
  <si>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</si>
  <si>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</si>
  <si>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</si>
  <si>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</si>
  <si>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</si>
  <si>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</si>
  <si>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</si>
  <si>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</si>
  <si>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</si>
  <si>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</si>
  <si>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</si>
  <si>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</si>
  <si>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</si>
  <si>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</si>
  <si>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</si>
  <si>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</si>
  <si>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</si>
  <si>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</si>
  <si>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</si>
  <si>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</si>
  <si>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</si>
  <si>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</si>
  <si>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</si>
  <si>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</si>
  <si>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</si>
  <si>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</si>
  <si>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</si>
  <si>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re.060</t>
  </si>
  <si>
    <t>re.065</t>
  </si>
  <si>
    <t>re.110</t>
  </si>
  <si>
    <t>tendido baja tension</t>
  </si>
  <si>
    <t>alumbrado público p/barrios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</si>
  <si>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</si>
  <si>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</si>
  <si>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</si>
  <si>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</si>
  <si>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</si>
  <si>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</si>
  <si>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</si>
  <si>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</si>
  <si>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</si>
  <si>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</si>
  <si>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</si>
  <si>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</si>
  <si>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</si>
  <si>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</si>
  <si>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</si>
  <si>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</si>
  <si>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</si>
  <si>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</si>
  <si>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</si>
  <si>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</si>
  <si>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</si>
  <si>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</si>
  <si>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</si>
  <si>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</si>
  <si>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</si>
  <si>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</si>
  <si>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</si>
  <si>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</si>
  <si>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</si>
  <si>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</si>
  <si>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</si>
  <si>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</si>
  <si>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</si>
  <si>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</si>
  <si>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</si>
  <si>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</si>
  <si>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</si>
  <si>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</si>
  <si>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</si>
  <si>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</si>
  <si>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</si>
  <si>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</si>
  <si>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</si>
  <si>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</si>
  <si>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</si>
  <si>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</si>
  <si>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</si>
  <si>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</si>
  <si>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</si>
  <si>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</si>
  <si>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</si>
  <si>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</si>
  <si>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</si>
  <si>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</si>
  <si>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</si>
  <si>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</si>
  <si>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</si>
  <si>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</si>
  <si>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</si>
  <si>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</si>
  <si>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</si>
  <si>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</si>
  <si>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</si>
  <si>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</si>
  <si>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</si>
  <si>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</si>
  <si>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</si>
  <si>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</si>
  <si>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</si>
  <si>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</si>
  <si>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</si>
  <si>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</si>
  <si>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</si>
  <si>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</si>
  <si>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</si>
  <si>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</si>
  <si>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</si>
  <si>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</si>
  <si>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</si>
  <si>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</si>
  <si>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</si>
  <si>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</si>
  <si>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</si>
  <si>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</si>
  <si>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</si>
  <si>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</si>
  <si>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</si>
  <si>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</si>
  <si>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</si>
  <si>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</si>
  <si>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</si>
  <si>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</si>
  <si>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</si>
  <si>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</si>
  <si>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</si>
  <si>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</si>
  <si>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</si>
  <si>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</si>
  <si>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</si>
  <si>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</si>
  <si>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</si>
  <si>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</si>
  <si>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</si>
  <si>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</si>
  <si>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</si>
  <si>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</si>
  <si>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</si>
  <si>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</si>
  <si>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arido grueso lavado1 : 5</t>
  </si>
  <si>
    <t>ar.010</t>
  </si>
  <si>
    <t>piedra bola</t>
  </si>
  <si>
    <t>eq.001'</t>
  </si>
  <si>
    <t>eq.027</t>
  </si>
  <si>
    <t>eq.029</t>
  </si>
  <si>
    <t>eq.031</t>
  </si>
  <si>
    <t>eq.041</t>
  </si>
  <si>
    <t>eq.046</t>
  </si>
  <si>
    <t>eq.049</t>
  </si>
  <si>
    <t>eq.051</t>
  </si>
  <si>
    <t>eq.053</t>
  </si>
  <si>
    <t>eq.055</t>
  </si>
  <si>
    <t>eq.059</t>
  </si>
  <si>
    <t>eq.061</t>
  </si>
  <si>
    <t>eq.062</t>
  </si>
  <si>
    <t>martillo neumático</t>
  </si>
  <si>
    <t>eq.063</t>
  </si>
  <si>
    <t>eq.064</t>
  </si>
  <si>
    <t>cortadora de hierro eléctrica tipo Simplex 32</t>
  </si>
  <si>
    <t>eq.065</t>
  </si>
  <si>
    <t>ARTEFACTO FLUORESCENTE 2x40 W COMPLETO</t>
  </si>
  <si>
    <t>sa.700</t>
  </si>
  <si>
    <t>Caño PRFV 700mm para Cloacas diám. Presión 1 bar</t>
  </si>
  <si>
    <t>cuerpo motorarg CFD 675/30  30H.P.</t>
  </si>
  <si>
    <t>ac.009</t>
  </si>
  <si>
    <t>hierro torsionado diam. 4,2mm</t>
  </si>
  <si>
    <t>ac.010</t>
  </si>
  <si>
    <t>hierro torsionado diam. 6mm</t>
  </si>
  <si>
    <t>ac.011</t>
  </si>
  <si>
    <t>hierro torsionado diam. 8mm</t>
  </si>
  <si>
    <t>ac.012</t>
  </si>
  <si>
    <t>hierro torsionado diam. 12mm</t>
  </si>
  <si>
    <t>ac.013</t>
  </si>
  <si>
    <t>hierro torsionado diam. 16mm</t>
  </si>
  <si>
    <t>ac.014</t>
  </si>
  <si>
    <t>hierro liso herrero de 10 mm.</t>
  </si>
  <si>
    <t>ac.029</t>
  </si>
  <si>
    <t>electrodos 2,5 mm</t>
  </si>
  <si>
    <t>ac.052</t>
  </si>
  <si>
    <t>Clavos P.P. 1"</t>
  </si>
  <si>
    <t>ac.053</t>
  </si>
  <si>
    <t>Clavos cabeza de plomo 3"</t>
  </si>
  <si>
    <t>ac.062</t>
  </si>
  <si>
    <t>alambre negro N°14</t>
  </si>
  <si>
    <t>ac.072</t>
  </si>
  <si>
    <t>Alambre Galvanizado N° 14</t>
  </si>
  <si>
    <t>ac.073</t>
  </si>
  <si>
    <t>Alambre tejido 2" x 2 mts 2"-200-10-14</t>
  </si>
  <si>
    <t>ac.092</t>
  </si>
  <si>
    <t>Tirafondo 6,5 mm x 3"</t>
  </si>
  <si>
    <t>ac.100</t>
  </si>
  <si>
    <t>Hierro torsionado diam. 20mm</t>
  </si>
  <si>
    <t>ac.101</t>
  </si>
  <si>
    <t>Hierro torsionado de 14mm</t>
  </si>
  <si>
    <t>ac.102</t>
  </si>
  <si>
    <t>Hierro liso herrero de 6 mm - 12 mts</t>
  </si>
  <si>
    <t>barra</t>
  </si>
  <si>
    <t>ac.103</t>
  </si>
  <si>
    <t>Hierro liso herrero de 8 mm - 12 mts</t>
  </si>
  <si>
    <t>ac.104</t>
  </si>
  <si>
    <t>Hierro liso herrero de 12 mm - 12 mts</t>
  </si>
  <si>
    <t>ac.105</t>
  </si>
  <si>
    <t>Hierro liso herrero de 16 mm - 12 mts</t>
  </si>
  <si>
    <t>ac.106</t>
  </si>
  <si>
    <t>Electrodos 3,25mm conarco punta azul</t>
  </si>
  <si>
    <t>ac.107</t>
  </si>
  <si>
    <t>Electrodos 3,25mm conarco punta naranja</t>
  </si>
  <si>
    <t>ac.108</t>
  </si>
  <si>
    <t>Planchuela 1"x3/16" x 6 mts</t>
  </si>
  <si>
    <t>ac.109</t>
  </si>
  <si>
    <t>Planchuela 1-1/4"x1/4" x 6 mts</t>
  </si>
  <si>
    <t>ac.110</t>
  </si>
  <si>
    <t>Planchuela 3/4"x1/8" x 6 mts</t>
  </si>
  <si>
    <t>ac.111</t>
  </si>
  <si>
    <t>Gancho "J" p/chapa galvanizada    de 60mm</t>
  </si>
  <si>
    <t>ac.118</t>
  </si>
  <si>
    <t>Caño estructural redondo 2 - 1/2"x1,6 x 6 m</t>
  </si>
  <si>
    <t>ac.119</t>
  </si>
  <si>
    <t>Hierro Angulo 3/4 x 1/8 x 6m</t>
  </si>
  <si>
    <t>ac.120</t>
  </si>
  <si>
    <t>Hierro Angulo 2 x 3/16 x 6m</t>
  </si>
  <si>
    <t>ac.121</t>
  </si>
  <si>
    <t>Hierro Angulo 1-1/2 x 3/16 x 6m</t>
  </si>
  <si>
    <t>ac.122</t>
  </si>
  <si>
    <t>Planchuela 1/2"x3/16" x 6 mts</t>
  </si>
  <si>
    <t>ac.123</t>
  </si>
  <si>
    <t>Planchuela 1-1/4"x1/8" x 6 mts</t>
  </si>
  <si>
    <t>ac.124</t>
  </si>
  <si>
    <t>Planchuela 1"x1/8" x 6 mts</t>
  </si>
  <si>
    <t>ac.125</t>
  </si>
  <si>
    <t>Planchuela 1-1/2"x3/16" x 6 mts</t>
  </si>
  <si>
    <t>ac.200</t>
  </si>
  <si>
    <t>Tornillos T1 x 100</t>
  </si>
  <si>
    <t>ac.201</t>
  </si>
  <si>
    <t>Tornillos T2 x 100</t>
  </si>
  <si>
    <t>ac.500</t>
  </si>
  <si>
    <t>Malla SIMA Q - 55 25x25</t>
  </si>
  <si>
    <t>Adoquin 10x10 Esf.4/7 Color gris o mixto (110kg por m2)</t>
  </si>
  <si>
    <t>ai.002</t>
  </si>
  <si>
    <t>Membrana s/aluminio 4 mm espesor</t>
  </si>
  <si>
    <t>Esmalte asfáltico (asfalto líquido en tacho de 4 litros)</t>
  </si>
  <si>
    <t>ai.004</t>
  </si>
  <si>
    <t>Hidrófugo Cerecita Iggam</t>
  </si>
  <si>
    <t>ai.005</t>
  </si>
  <si>
    <t>Membrana b/tejas c/aislac. térmica TBA5</t>
  </si>
  <si>
    <t>Membrana c/aluminio 4mm - 10m (A partir de 07/06)</t>
  </si>
  <si>
    <t>ai.010</t>
  </si>
  <si>
    <t>ai.018</t>
  </si>
  <si>
    <t>Telgopor 10 mm</t>
  </si>
  <si>
    <t>ai.055</t>
  </si>
  <si>
    <t>Ladrillo telgopor h=12cm, largo=1m, ancho=42cm</t>
  </si>
  <si>
    <t>corregido</t>
  </si>
  <si>
    <t>ai.060</t>
  </si>
  <si>
    <t>Burlete esponjoso 4x10 (50m)</t>
  </si>
  <si>
    <t>ar.012</t>
  </si>
  <si>
    <t>Ripio Lavado 1/2</t>
  </si>
  <si>
    <t>ar.013</t>
  </si>
  <si>
    <t>Arena Fina</t>
  </si>
  <si>
    <t>az.001</t>
  </si>
  <si>
    <t>Azulejo 15x15 blanco</t>
  </si>
  <si>
    <t>bl.004</t>
  </si>
  <si>
    <t>bloque de H° de 15x20x40</t>
  </si>
  <si>
    <t>bl.005</t>
  </si>
  <si>
    <t>Viguetas pretensadas 3.80 m.</t>
  </si>
  <si>
    <t>bl.006</t>
  </si>
  <si>
    <t>Viguetas pretensadas 4.00 m.</t>
  </si>
  <si>
    <t>bz.001</t>
  </si>
  <si>
    <t>Baldosa a prensa Esf.3/6 Color gris Ancho 15x largo libre</t>
  </si>
  <si>
    <t>bz.002</t>
  </si>
  <si>
    <t>Baldosa a disco 15 x largo libre Esf.3/6 Color gris (110kg x m2)</t>
  </si>
  <si>
    <t>ca.013</t>
  </si>
  <si>
    <t>Ventana 2 H. abrir c/mco.met. 1,20x1,10 y celosía metálica BWG 20</t>
  </si>
  <si>
    <t>ca.102</t>
  </si>
  <si>
    <t>Ventana 2 H. abrir c/mco.met. 1,20x1,50 y celosía metálica BWG 20</t>
  </si>
  <si>
    <t>ca.103</t>
  </si>
  <si>
    <t>Ventana 2 H. abrir c/mco.met. 1,20x1,10 y celosía tablilla de madera</t>
  </si>
  <si>
    <t>ca.104</t>
  </si>
  <si>
    <t>Ventana 2 H. abrir c/mco.met. 1,20x1,50 y celosía tablilla de madera</t>
  </si>
  <si>
    <t>ca.107</t>
  </si>
  <si>
    <t>Ventana 0.60x0.80 paño fijo inf. y aereador alum 3 aletas c/reja c.est</t>
  </si>
  <si>
    <t>ca.108</t>
  </si>
  <si>
    <t>Ventiluz 1.116x0.30 c/dos aereadores alum. De 5 aletas c/reja c.est.</t>
  </si>
  <si>
    <t>ca.109</t>
  </si>
  <si>
    <t>P1 Alt. Puerta de 0.90x2.05 marco N°18 P/75mm hoja bastidor</t>
  </si>
  <si>
    <t>ca.110</t>
  </si>
  <si>
    <t>P1 marco 0.90x2.05 N° 18 P/75mm</t>
  </si>
  <si>
    <t>ca.111</t>
  </si>
  <si>
    <t>P2 marco 0.80x2.05 N° 18 P/75mm</t>
  </si>
  <si>
    <t>ca.112</t>
  </si>
  <si>
    <t>P3 marco 0.70x2.05 N° 18 P/75mm</t>
  </si>
  <si>
    <t>ca.113</t>
  </si>
  <si>
    <t>P4 marco 0.90x2.05 N° 18 P/65mm hoja c/bastonado inf. y p.fijo c/r</t>
  </si>
  <si>
    <t>ca.114</t>
  </si>
  <si>
    <t>Puerta Blindex de 10mm de 93x215 incolora,templada con herrajes</t>
  </si>
  <si>
    <t>ch.030</t>
  </si>
  <si>
    <t>Chapa lisa galvanizada Nº 24 de 1,22x2,44</t>
  </si>
  <si>
    <t>ch.031</t>
  </si>
  <si>
    <t>Chapa lisa galvanizada Nº 27 de 1,22x2,45</t>
  </si>
  <si>
    <t>ch.032</t>
  </si>
  <si>
    <t>Chapa galvanizada Nº 27 x 1,10</t>
  </si>
  <si>
    <t>pie</t>
  </si>
  <si>
    <t>ch.033</t>
  </si>
  <si>
    <t>Chapa de hierro N°28 DD de 1 x 2 m.</t>
  </si>
  <si>
    <t>ch.035</t>
  </si>
  <si>
    <t>Chapa decorada  Nº  20      2  x 1m</t>
  </si>
  <si>
    <t>ch.036</t>
  </si>
  <si>
    <t>Chapa Nº  27 de 8 pie x 1,10 m</t>
  </si>
  <si>
    <t>ch.037</t>
  </si>
  <si>
    <t>Chapa Nº  27 de 25 pie x 1,10 m</t>
  </si>
  <si>
    <t>ch.038</t>
  </si>
  <si>
    <t>Chapa Nº  27 de 15 pie x 1,10 m</t>
  </si>
  <si>
    <t>ch.039</t>
  </si>
  <si>
    <t>Chapa Nº  27 de 14 pie x 1,10 m</t>
  </si>
  <si>
    <t>ch.040</t>
  </si>
  <si>
    <t>Chapa galvanizada Nº 24 x 1,10</t>
  </si>
  <si>
    <t>el.009</t>
  </si>
  <si>
    <t>el.011</t>
  </si>
  <si>
    <t>pilar Hº premol. de luz simple p/med. trifas.</t>
  </si>
  <si>
    <t>el.020</t>
  </si>
  <si>
    <t>el.021</t>
  </si>
  <si>
    <t>el.022</t>
  </si>
  <si>
    <t>el.023</t>
  </si>
  <si>
    <t>el.024</t>
  </si>
  <si>
    <t>el.025</t>
  </si>
  <si>
    <t>el.026</t>
  </si>
  <si>
    <t>cable cobre desnudo 1 x 6 mm2</t>
  </si>
  <si>
    <t>el.027</t>
  </si>
  <si>
    <t>el.028</t>
  </si>
  <si>
    <t>Cable Flex Cu 7 x 0,5 (verde - amarillo)</t>
  </si>
  <si>
    <t>el.029</t>
  </si>
  <si>
    <t>Cable Flex Cu 7 x 0,85 (verde - amarillo)</t>
  </si>
  <si>
    <t>el.057</t>
  </si>
  <si>
    <t>el.058</t>
  </si>
  <si>
    <t>el.059</t>
  </si>
  <si>
    <t>el.060</t>
  </si>
  <si>
    <t>el.061</t>
  </si>
  <si>
    <t>el.062</t>
  </si>
  <si>
    <t>el.071</t>
  </si>
  <si>
    <t>el.072</t>
  </si>
  <si>
    <t>el.073</t>
  </si>
  <si>
    <t>el.075</t>
  </si>
  <si>
    <t>el.076</t>
  </si>
  <si>
    <t>el.080</t>
  </si>
  <si>
    <t>el.100</t>
  </si>
  <si>
    <t>el.101</t>
  </si>
  <si>
    <t>el.102</t>
  </si>
  <si>
    <t>el.103</t>
  </si>
  <si>
    <t>el.104</t>
  </si>
  <si>
    <t>el.105</t>
  </si>
  <si>
    <t>el.107</t>
  </si>
  <si>
    <t>el.108</t>
  </si>
  <si>
    <t>el.109</t>
  </si>
  <si>
    <t>el.110</t>
  </si>
  <si>
    <t>el.111</t>
  </si>
  <si>
    <t>el.112</t>
  </si>
  <si>
    <t>el.113</t>
  </si>
  <si>
    <t>el.114</t>
  </si>
  <si>
    <t>el.115</t>
  </si>
  <si>
    <t>el.149</t>
  </si>
  <si>
    <t>el.150</t>
  </si>
  <si>
    <t>el.151</t>
  </si>
  <si>
    <t>el.152</t>
  </si>
  <si>
    <t>el.159</t>
  </si>
  <si>
    <t>el.160a</t>
  </si>
  <si>
    <t>el.164</t>
  </si>
  <si>
    <t>el.165</t>
  </si>
  <si>
    <t>el.166</t>
  </si>
  <si>
    <t>el.168</t>
  </si>
  <si>
    <t>el.170</t>
  </si>
  <si>
    <t>el.171</t>
  </si>
  <si>
    <t>Caño flexible Ref. naranja 3/4"</t>
  </si>
  <si>
    <t>el.172</t>
  </si>
  <si>
    <t>el.173'</t>
  </si>
  <si>
    <t>Tubo fluorescente 40 w</t>
  </si>
  <si>
    <t>Tanque acoplado 10000 litros (A partir de 05/06)</t>
  </si>
  <si>
    <t>eq.001</t>
  </si>
  <si>
    <t>Camión Ford 14000 Diesel</t>
  </si>
  <si>
    <t>eq.002</t>
  </si>
  <si>
    <t>Equipo volquete BACO 7 m3</t>
  </si>
  <si>
    <t>eq.026</t>
  </si>
  <si>
    <t>Aserradora pavimento 8 H.P.</t>
  </si>
  <si>
    <t>eq.028</t>
  </si>
  <si>
    <t>Bomba a explosión 5 H. P.</t>
  </si>
  <si>
    <t>eq.030b</t>
  </si>
  <si>
    <t>Acoplado Volcador Bilateral s/cubiertas (A partir de 06/05)</t>
  </si>
  <si>
    <t>eq.044</t>
  </si>
  <si>
    <t>Regla vibradora 8 H.P.</t>
  </si>
  <si>
    <t>eq.058</t>
  </si>
  <si>
    <t>Tractor engomado 100 H.P.</t>
  </si>
  <si>
    <t>eq.060</t>
  </si>
  <si>
    <t>Vibrador inmersión a nafta 4 H.P.</t>
  </si>
  <si>
    <t>eq.066</t>
  </si>
  <si>
    <t>eq.070</t>
  </si>
  <si>
    <t>eq.072</t>
  </si>
  <si>
    <t>Equipo regador de asfalto cap 5000 lt</t>
  </si>
  <si>
    <t>eq.074</t>
  </si>
  <si>
    <t>eq.082b</t>
  </si>
  <si>
    <t>Rastra de disco Terramec</t>
  </si>
  <si>
    <t>Vibrador de placa Waker BPS</t>
  </si>
  <si>
    <t>eq.088b</t>
  </si>
  <si>
    <t>Planta de asfalto 80 Tn/h c/filtro de manga Modelo UACF 15 P-1</t>
  </si>
  <si>
    <t>eq.090b</t>
  </si>
  <si>
    <t>Grúa hidráulica Amco Veba</t>
  </si>
  <si>
    <t>eq.102b</t>
  </si>
  <si>
    <t>Terminadora de asfalto CIBER Modelo AF 5000</t>
  </si>
  <si>
    <t>eq.116</t>
  </si>
  <si>
    <t>Excavadora s/oruga 138HP 1,4 m3 c/zap 700mm CAT 320 CL</t>
  </si>
  <si>
    <t>eq.120</t>
  </si>
  <si>
    <t>Manguera c/acople</t>
  </si>
  <si>
    <t>eq.121</t>
  </si>
  <si>
    <t>Punta exagonal</t>
  </si>
  <si>
    <t>eq.122</t>
  </si>
  <si>
    <t>Martillo neumatico CETEC  incompleto</t>
  </si>
  <si>
    <t>eq.201</t>
  </si>
  <si>
    <t>Nafta común</t>
  </si>
  <si>
    <t>eq.300</t>
  </si>
  <si>
    <t>Gasoil a granel</t>
  </si>
  <si>
    <t>eq.901</t>
  </si>
  <si>
    <t>Compactador Asfalto doble rodillo CAT CB434 D - 83 Hp</t>
  </si>
  <si>
    <t>eq.902</t>
  </si>
  <si>
    <t>Topadora CAT D6R Serie III - 185 Hp - Hoja 6SU - Ripper multivastago</t>
  </si>
  <si>
    <t>eq.976</t>
  </si>
  <si>
    <t>Vibrocompactador s/neumático Pata de cabra 145HP CAT CP 533E</t>
  </si>
  <si>
    <t>fl.001</t>
  </si>
  <si>
    <t>Flete Pto. Madryn a Salta (por camion completo 28 Ton)</t>
  </si>
  <si>
    <t>fo.030</t>
  </si>
  <si>
    <t>semilla cesped mezcla</t>
  </si>
  <si>
    <t>fo.035</t>
  </si>
  <si>
    <t>Lapacho x 2,20 mts</t>
  </si>
  <si>
    <t>fo.040</t>
  </si>
  <si>
    <t>Ligustrus Aurius x 2.20 mts</t>
  </si>
  <si>
    <t>ga.006</t>
  </si>
  <si>
    <t>malla advertencia gas x 300 mm</t>
  </si>
  <si>
    <t>ga.007</t>
  </si>
  <si>
    <t>polyguard 5 cm x 25 m</t>
  </si>
  <si>
    <t>ga.009</t>
  </si>
  <si>
    <t>curva articulada chapa diametro 100 mm</t>
  </si>
  <si>
    <t>ga.012</t>
  </si>
  <si>
    <t>Caño de chapa galvanizada D=150mm ch30</t>
  </si>
  <si>
    <t>ga.151</t>
  </si>
  <si>
    <t>caño extruido 25 mm</t>
  </si>
  <si>
    <t>codo epoxi 25 mm</t>
  </si>
  <si>
    <t>ga.163</t>
  </si>
  <si>
    <t>CAÑO DE HOJALATA DE 100*1 MT (COM.MIT)</t>
  </si>
  <si>
    <t>CODOS HH 90° EPOXI 3/4"</t>
  </si>
  <si>
    <t>tee epoxi 13 mm</t>
  </si>
  <si>
    <t>tee epoxi 19 mm</t>
  </si>
  <si>
    <t>tee epoxi 25 mm</t>
  </si>
  <si>
    <t>ga.173</t>
  </si>
  <si>
    <t>PEGAMENTO P/POLYGUARD 1 LITRO</t>
  </si>
  <si>
    <t>ga.190</t>
  </si>
  <si>
    <t>union doble conica epoxi 3/4"</t>
  </si>
  <si>
    <t>ga.191</t>
  </si>
  <si>
    <t>union doble conica epoxi 1/2"</t>
  </si>
  <si>
    <t>ga.195</t>
  </si>
  <si>
    <t>niple epoxi x 8 cm 1/2"</t>
  </si>
  <si>
    <t>ga.205</t>
  </si>
  <si>
    <t>Tubo pemd gas SDR 11 4 bar D= 25mm</t>
  </si>
  <si>
    <t>ga.206</t>
  </si>
  <si>
    <t>Tubo pemd gas SDR 11 4 bar D= 50mm</t>
  </si>
  <si>
    <t>ga.207</t>
  </si>
  <si>
    <t>Tubo pemd gas SDR 11 4 bar D= 63mm</t>
  </si>
  <si>
    <t>ga.208</t>
  </si>
  <si>
    <t>Tubo pemd gas SDR 11 4 bar D= 90mm</t>
  </si>
  <si>
    <t>ga.209</t>
  </si>
  <si>
    <t>Malla de advertencia  A= 150mm</t>
  </si>
  <si>
    <t>ga.210</t>
  </si>
  <si>
    <t>Malla de advertencia A= 300mm</t>
  </si>
  <si>
    <t>ga.211</t>
  </si>
  <si>
    <t>Cupla poliet. E/F 25mm media densidad</t>
  </si>
  <si>
    <t>ga.212</t>
  </si>
  <si>
    <t>Tee normal PE E/F 50MMA</t>
  </si>
  <si>
    <t>ga.213</t>
  </si>
  <si>
    <t>Válvula servicio PE E/F 63x25</t>
  </si>
  <si>
    <t>ga.214</t>
  </si>
  <si>
    <t>Codo 90º PE E/F 90mm</t>
  </si>
  <si>
    <t>ga.215</t>
  </si>
  <si>
    <t>Vaina PVC curva L 640mm</t>
  </si>
  <si>
    <t>ga.216</t>
  </si>
  <si>
    <t>Vaina PVC recta L 320mm</t>
  </si>
  <si>
    <t>ga.217</t>
  </si>
  <si>
    <t>Gripper p/gabinete 3/4 x 25mm</t>
  </si>
  <si>
    <t>gajo.161</t>
  </si>
  <si>
    <t>her.012</t>
  </si>
  <si>
    <t>Dobladora de hierro 12mm (Grinfa)</t>
  </si>
  <si>
    <t>her.013</t>
  </si>
  <si>
    <t>Dobladora de hierro 20mm (Grinfa)</t>
  </si>
  <si>
    <t>la.003</t>
  </si>
  <si>
    <t>ladrillo común de 2da.calidad</t>
  </si>
  <si>
    <t>la.007</t>
  </si>
  <si>
    <t>ladrillo hueco portante 12x18x30</t>
  </si>
  <si>
    <t>la.011</t>
  </si>
  <si>
    <t>bovedilla cerámica para viguetas 9,5x40x25</t>
  </si>
  <si>
    <t>la.012</t>
  </si>
  <si>
    <t>bovedilla ceramica para viguetas 16,5x40x25</t>
  </si>
  <si>
    <t>la.014</t>
  </si>
  <si>
    <t>Ladrillo seleccionado de 1ra.</t>
  </si>
  <si>
    <t>la.020</t>
  </si>
  <si>
    <t>Ladrillo semivisto</t>
  </si>
  <si>
    <t>la.021</t>
  </si>
  <si>
    <t>Ladrillones de 20 comunes</t>
  </si>
  <si>
    <t>la.023</t>
  </si>
  <si>
    <t>Ladrillos fundidos</t>
  </si>
  <si>
    <t>li.002</t>
  </si>
  <si>
    <t>pastina p/ceramicos blanca</t>
  </si>
  <si>
    <t>li.003</t>
  </si>
  <si>
    <t>Pastina p/ceramicos color</t>
  </si>
  <si>
    <t>li.010</t>
  </si>
  <si>
    <t>ferrite rojo</t>
  </si>
  <si>
    <t>li.015</t>
  </si>
  <si>
    <t>Plastificante x 1,5 lts.</t>
  </si>
  <si>
    <t>li.100</t>
  </si>
  <si>
    <t>Cal viva 10 kg</t>
  </si>
  <si>
    <t>ma.050</t>
  </si>
  <si>
    <t>Hoja en melamina color blanco base aglomerado 18 mm</t>
  </si>
  <si>
    <t>ma.051</t>
  </si>
  <si>
    <t>Hoja fibrofacil 12 mm  (1,83 x 2,60)</t>
  </si>
  <si>
    <t>ma.052</t>
  </si>
  <si>
    <t>ma.053</t>
  </si>
  <si>
    <t>Preencolado blanco</t>
  </si>
  <si>
    <t>pb.070</t>
  </si>
  <si>
    <t>Equipo de bombeo MOTORARG Modelo 625/7,5(BOMBA+MOTOR)</t>
  </si>
  <si>
    <t>pb.080</t>
  </si>
  <si>
    <t>Tablero de arranque suave 7,5 HP</t>
  </si>
  <si>
    <t>pb.090</t>
  </si>
  <si>
    <t>Tablero suave Std. 30HP 380v</t>
  </si>
  <si>
    <t>pb.140</t>
  </si>
  <si>
    <t>Bomba impulsora de agua 3/4 HP</t>
  </si>
  <si>
    <t>pi.002</t>
  </si>
  <si>
    <t>aceite de lino cocido 18l</t>
  </si>
  <si>
    <t>pi.004</t>
  </si>
  <si>
    <t>fondo p/chapa galvanizada tipo Galvite</t>
  </si>
  <si>
    <t>pi.006</t>
  </si>
  <si>
    <t xml:space="preserve">antióxido al cromato </t>
  </si>
  <si>
    <t>pi.011</t>
  </si>
  <si>
    <t>esmalte sintetico verde x 4 lts</t>
  </si>
  <si>
    <t>pi.012</t>
  </si>
  <si>
    <t>pintura epoxi amarillo</t>
  </si>
  <si>
    <t>pi.015</t>
  </si>
  <si>
    <t>pintura al latex acrilico p/cielorrasos</t>
  </si>
  <si>
    <t>pi.017</t>
  </si>
  <si>
    <t>latex p/canchas</t>
  </si>
  <si>
    <t>pi.034</t>
  </si>
  <si>
    <t>Esmalte sintetico  negro 4l</t>
  </si>
  <si>
    <t>pi.035</t>
  </si>
  <si>
    <t>Viruta de Acero fina 300 gr</t>
  </si>
  <si>
    <t>pi.037</t>
  </si>
  <si>
    <t>Pincel de cerda serie 331 N° 30</t>
  </si>
  <si>
    <t>pi.038</t>
  </si>
  <si>
    <t>Pinceleta de cerda serie 331 N° 40</t>
  </si>
  <si>
    <t>pi.039</t>
  </si>
  <si>
    <t>Pico Hexagonal lluvia gruesa p/ pulverizar</t>
  </si>
  <si>
    <t>pi.040</t>
  </si>
  <si>
    <t>Cuero grande para pulverizador</t>
  </si>
  <si>
    <t>pi.041</t>
  </si>
  <si>
    <t>Latex para piletas</t>
  </si>
  <si>
    <t>pi.042</t>
  </si>
  <si>
    <t>Pintura al latex - lata 20 lts, interior</t>
  </si>
  <si>
    <t>pi.043</t>
  </si>
  <si>
    <t>Pintura al aceite 4lts blanco Satinado</t>
  </si>
  <si>
    <t>pi.044</t>
  </si>
  <si>
    <t>Pintura al aceite 4lts negro Satinado</t>
  </si>
  <si>
    <t>pre.040</t>
  </si>
  <si>
    <t>pileta de lavar H° premold. 70x55x30 s/ patas</t>
  </si>
  <si>
    <t>pre.050</t>
  </si>
  <si>
    <t>camara de inspec. premol. compl. 60x60x60</t>
  </si>
  <si>
    <t>pre.055</t>
  </si>
  <si>
    <t>camara septica premol. 540 lts completa</t>
  </si>
  <si>
    <t>pre.100</t>
  </si>
  <si>
    <t>Caño de Hº Comprimido Diám. 1m, Largo Util 1,20m,Peso 1100kg/caño</t>
  </si>
  <si>
    <t>ra.025</t>
  </si>
  <si>
    <t>Caño Pead Agua 90mm</t>
  </si>
  <si>
    <t>ra.026</t>
  </si>
  <si>
    <t>Caño Pead Agua 110mm</t>
  </si>
  <si>
    <t>ra.027</t>
  </si>
  <si>
    <t>Caño Pead Agua 160mm</t>
  </si>
  <si>
    <t>ra.029</t>
  </si>
  <si>
    <t>Caño Pead Agua 225mm</t>
  </si>
  <si>
    <t>ra.037</t>
  </si>
  <si>
    <t>abrazadera diám. 63mm con racord de 3/4"</t>
  </si>
  <si>
    <t>ra.100</t>
  </si>
  <si>
    <t>Tubo perfilado Hidropipe Diám. 400</t>
  </si>
  <si>
    <t>ra.101</t>
  </si>
  <si>
    <t>Tubo perfilado Hidropipe Diám. 520</t>
  </si>
  <si>
    <t>ra.102</t>
  </si>
  <si>
    <t>Tubo perfilado Hidropipe Diám. 700</t>
  </si>
  <si>
    <t>ra.103</t>
  </si>
  <si>
    <t>Tubo perfilado Hidropipe Diám. 870</t>
  </si>
  <si>
    <t>ra.104</t>
  </si>
  <si>
    <t>Tubo perfilado Hidropipe Diám. 1100</t>
  </si>
  <si>
    <t>ra.105</t>
  </si>
  <si>
    <t>Tubo perfilado Hidropipe Diám. 1250</t>
  </si>
  <si>
    <t>re.025</t>
  </si>
  <si>
    <t>re.026</t>
  </si>
  <si>
    <t>Poste eucaliptus p/redes elect. De baja tensión(7,5 m) s/normas EDESA</t>
  </si>
  <si>
    <t>re.030</t>
  </si>
  <si>
    <t>re.035</t>
  </si>
  <si>
    <t>re.040</t>
  </si>
  <si>
    <t>re.043</t>
  </si>
  <si>
    <t>re.045</t>
  </si>
  <si>
    <t>re.050</t>
  </si>
  <si>
    <t>re.055</t>
  </si>
  <si>
    <t>re.070</t>
  </si>
  <si>
    <t>re.075</t>
  </si>
  <si>
    <t>re.080</t>
  </si>
  <si>
    <t>re.090</t>
  </si>
  <si>
    <t>re.095</t>
  </si>
  <si>
    <t>Gabinete estanco PVC 600x600x225 c/cerrad. AºPº</t>
  </si>
  <si>
    <t>re.100</t>
  </si>
  <si>
    <t>re.105</t>
  </si>
  <si>
    <t>re.115</t>
  </si>
  <si>
    <t>Morsa de retención PKR 10</t>
  </si>
  <si>
    <t>Te normal E/F 63</t>
  </si>
  <si>
    <t>Alas terminales</t>
  </si>
  <si>
    <t>Equipo p/laboratorio y oficina</t>
  </si>
  <si>
    <t>Agregado zarand. Pétreo triturado  vial</t>
  </si>
  <si>
    <t>sa.003</t>
  </si>
  <si>
    <t>sopapa PVC diametro 50 mm recta cromada</t>
  </si>
  <si>
    <t>sa.004</t>
  </si>
  <si>
    <t>sopapa PVC diametro 40 mm p/ducha</t>
  </si>
  <si>
    <t>sa.005</t>
  </si>
  <si>
    <t>curva PVC 90° 110 mm</t>
  </si>
  <si>
    <t>sa.006</t>
  </si>
  <si>
    <t>ramal T PVC 110x110</t>
  </si>
  <si>
    <t>sa.007</t>
  </si>
  <si>
    <t>curva PVC 45° diam. 50 mm</t>
  </si>
  <si>
    <t>sa.008</t>
  </si>
  <si>
    <t>codo PVC a 90° diam. 50 mm</t>
  </si>
  <si>
    <t>sa.009</t>
  </si>
  <si>
    <t>codo PVC a 90° diam. 40 mm</t>
  </si>
  <si>
    <t>sa.010</t>
  </si>
  <si>
    <t>codo PVC a 45° diam. 40 mm</t>
  </si>
  <si>
    <t>sa.011</t>
  </si>
  <si>
    <t>codo PVC a 90° 2.2 diam. 100 mm</t>
  </si>
  <si>
    <t>sa.012</t>
  </si>
  <si>
    <t>sombrerete PVC diam. 100 mm</t>
  </si>
  <si>
    <t>sa.014</t>
  </si>
  <si>
    <t>boca acceso PVC p/cocina</t>
  </si>
  <si>
    <t>sa.015</t>
  </si>
  <si>
    <t>Bacha simple acero inox. 52 x 32x18</t>
  </si>
  <si>
    <t>sa.016</t>
  </si>
  <si>
    <t>deposito p/mingitorio PVC 12 lts</t>
  </si>
  <si>
    <t>sa.017</t>
  </si>
  <si>
    <t>mingitorio losa blanco</t>
  </si>
  <si>
    <t>sa.018</t>
  </si>
  <si>
    <t xml:space="preserve">bidet losa </t>
  </si>
  <si>
    <t>sa.019</t>
  </si>
  <si>
    <t>lavatorio 3 agujeros mediano de colgar</t>
  </si>
  <si>
    <t>sa.025</t>
  </si>
  <si>
    <t>portarrollo losa embutir blanco</t>
  </si>
  <si>
    <t>sa.026</t>
  </si>
  <si>
    <t>jabonera 7,5x15 embutir blanca</t>
  </si>
  <si>
    <t>sa.027</t>
  </si>
  <si>
    <t>jabonera 15x15 embutir blanca</t>
  </si>
  <si>
    <t>sa.028</t>
  </si>
  <si>
    <t>jabonera 15x15 c/agarradera emb. Blanca</t>
  </si>
  <si>
    <t>sa.029</t>
  </si>
  <si>
    <t>toallero integral embutir</t>
  </si>
  <si>
    <t>sa.030</t>
  </si>
  <si>
    <t>perchero simple embutir</t>
  </si>
  <si>
    <t>sa.031</t>
  </si>
  <si>
    <t>reduccion PVC 3.2 63 x 50 mm</t>
  </si>
  <si>
    <t>sa.059</t>
  </si>
  <si>
    <t>adhesivo p/cañeria de PVC</t>
  </si>
  <si>
    <t>sa.060</t>
  </si>
  <si>
    <t>caño polietileno K10 13 mm</t>
  </si>
  <si>
    <t>sa.061</t>
  </si>
  <si>
    <t>caño polietileno K10 19 mm</t>
  </si>
  <si>
    <t>sa.070</t>
  </si>
  <si>
    <t>caño H-3 tricapa 13 mm</t>
  </si>
  <si>
    <t>sa.086</t>
  </si>
  <si>
    <t>caño PVC 2.2 p/ventil. diam. 100mm x 3m</t>
  </si>
  <si>
    <t>sa.087</t>
  </si>
  <si>
    <t>caño PVC 3.2 p/desague cloacal 0.040 x 4 m.</t>
  </si>
  <si>
    <t>sa.088</t>
  </si>
  <si>
    <t>caño PVC 3.2 p/desague cloacal 0.050 x 4 m.</t>
  </si>
  <si>
    <t>sa.107</t>
  </si>
  <si>
    <t>codo IPS 13 mm</t>
  </si>
  <si>
    <t>sa.109</t>
  </si>
  <si>
    <t>codo IPS 25 mm</t>
  </si>
  <si>
    <t>sa.139</t>
  </si>
  <si>
    <t>grampa sujeccion lavatorio</t>
  </si>
  <si>
    <t>sa.140</t>
  </si>
  <si>
    <t>tornillo bronce p/inodoro</t>
  </si>
  <si>
    <t>sa.145</t>
  </si>
  <si>
    <t>tapa ciega boca acceso cocina bce.</t>
  </si>
  <si>
    <t>sa.150</t>
  </si>
  <si>
    <t>rejilla bronce 15x15 c/marco</t>
  </si>
  <si>
    <t>sa.190</t>
  </si>
  <si>
    <t>union doble conica IPS 3/4"</t>
  </si>
  <si>
    <t>sa.201</t>
  </si>
  <si>
    <t>tee IPS 13 mm</t>
  </si>
  <si>
    <t>sa.202</t>
  </si>
  <si>
    <t>tee IPS 25 mm</t>
  </si>
  <si>
    <t>sa.235</t>
  </si>
  <si>
    <t>chicote flexible PVC 35 cm</t>
  </si>
  <si>
    <t>sa.236</t>
  </si>
  <si>
    <t>juego lavatorio c/pico mezclador Cr.Y</t>
  </si>
  <si>
    <t>sa.237</t>
  </si>
  <si>
    <t>juego bidet Cr. Y</t>
  </si>
  <si>
    <t>sa.238</t>
  </si>
  <si>
    <t>juego cocina pico movil embutir/mesada CrY</t>
  </si>
  <si>
    <t>sa.243</t>
  </si>
  <si>
    <t>llave de paso de bronce 0.013</t>
  </si>
  <si>
    <t>sa.248</t>
  </si>
  <si>
    <t>llave maestra bronce 1/2"</t>
  </si>
  <si>
    <t>sa.249</t>
  </si>
  <si>
    <t>llave maestra bronce 3/4"</t>
  </si>
  <si>
    <t>sa.265</t>
  </si>
  <si>
    <t>reja hierro fundido 20x20 c/marco</t>
  </si>
  <si>
    <t>sa.271</t>
  </si>
  <si>
    <t>canilla bronce riego c/manga 3/4" ref.</t>
  </si>
  <si>
    <t>sa.283</t>
  </si>
  <si>
    <t>conexión p/tanque 3/4" completo</t>
  </si>
  <si>
    <t>Flotante completo para tanque 1/2" Alta presión</t>
  </si>
  <si>
    <t>sa.287</t>
  </si>
  <si>
    <t>llave de limpieza bronce 3/4"</t>
  </si>
  <si>
    <t>sa.288</t>
  </si>
  <si>
    <t>ventilacion p/tanque PVC 1"</t>
  </si>
  <si>
    <t>sa.292</t>
  </si>
  <si>
    <t>Mesada granito reconst. gris e= 4 cm.</t>
  </si>
  <si>
    <t>sa.293</t>
  </si>
  <si>
    <t>Mesada granito reconst. Negro  e=4cm.</t>
  </si>
  <si>
    <t>sa.296</t>
  </si>
  <si>
    <t>Mármoles Importados Granit. e=2cm Brasil</t>
  </si>
  <si>
    <t>sa.297</t>
  </si>
  <si>
    <t>Mármol de Carrara</t>
  </si>
  <si>
    <t>sa.298</t>
  </si>
  <si>
    <t>Pulido de mosaicos</t>
  </si>
  <si>
    <t>sa.299</t>
  </si>
  <si>
    <t>Mesada granito reconst. Blanca e=4cm.</t>
  </si>
  <si>
    <t>sa.350</t>
  </si>
  <si>
    <t>Jabonera blanco adhesivo s/pegamento</t>
  </si>
  <si>
    <t>sa.351</t>
  </si>
  <si>
    <t>Portavaso blanco adhesivo s/pegamento</t>
  </si>
  <si>
    <t>sa.900</t>
  </si>
  <si>
    <t>so.005</t>
  </si>
  <si>
    <t>Mosaico granítico 30x30 claro</t>
  </si>
  <si>
    <t>so.006</t>
  </si>
  <si>
    <t>mosaico calcareo gris</t>
  </si>
  <si>
    <t>so.009</t>
  </si>
  <si>
    <t>Baldosa roja 20x20 tipo azotea</t>
  </si>
  <si>
    <t>so.010</t>
  </si>
  <si>
    <t>Zócalo granítico claro 10x30</t>
  </si>
  <si>
    <t>so.011</t>
  </si>
  <si>
    <t>Zócalo granítico gris 10 x 30</t>
  </si>
  <si>
    <t>so.012</t>
  </si>
  <si>
    <t>Zócalo calcareo amarillo o rojo</t>
  </si>
  <si>
    <t>so.013</t>
  </si>
  <si>
    <t>zocalo calcareo gris</t>
  </si>
  <si>
    <t>so.014</t>
  </si>
  <si>
    <t>Zócalo línea color negro o rojo</t>
  </si>
  <si>
    <t>so.015</t>
  </si>
  <si>
    <t>Mosaico granítico línea color rojo o negro</t>
  </si>
  <si>
    <t>so.030</t>
  </si>
  <si>
    <t>Cerámico esmaltado 20x20</t>
  </si>
  <si>
    <t>vi.006</t>
  </si>
  <si>
    <t>vidrio transparente 6 mm</t>
  </si>
  <si>
    <t>vi.007</t>
  </si>
  <si>
    <t>vidrio armado</t>
  </si>
  <si>
    <t>vi.008</t>
  </si>
  <si>
    <t>blindex 10 mm</t>
  </si>
  <si>
    <t>eq.054b</t>
  </si>
  <si>
    <t>tanque de reserva 600 lts. PVC tricapa</t>
  </si>
  <si>
    <t>varillones de 1,40 mts.</t>
  </si>
  <si>
    <t>varillas de 1,20 mts.</t>
  </si>
  <si>
    <t>baldosa cerámica roja 6 x 24</t>
  </si>
  <si>
    <t>Hoja fibrofacil 4mm 1,83x2,60</t>
  </si>
  <si>
    <t>Combustible Tipo  IFO</t>
  </si>
  <si>
    <t>eq.301</t>
  </si>
  <si>
    <t>ai.011</t>
  </si>
  <si>
    <t>Membrana HDPE 60 Esp. 1,5 mm, Lisa, Calidad GM13 (m2)</t>
  </si>
  <si>
    <t>ERROR</t>
  </si>
  <si>
    <t>cortadora de hierro eléctrica</t>
  </si>
  <si>
    <t>motocompresor tipo P185 WR</t>
  </si>
  <si>
    <t>eq.067</t>
  </si>
  <si>
    <t>motocompresor</t>
  </si>
  <si>
    <t>eq.068</t>
  </si>
  <si>
    <t>eq.069</t>
  </si>
  <si>
    <t>equipo regador de agua  cap. 6000 lt</t>
  </si>
  <si>
    <t>eq.071</t>
  </si>
  <si>
    <t>equipo regador de asfalto cap 5000 lt</t>
  </si>
  <si>
    <t>eq.073</t>
  </si>
  <si>
    <t>barredora sopladora</t>
  </si>
  <si>
    <t>eq.075</t>
  </si>
  <si>
    <t>eq.076</t>
  </si>
  <si>
    <t>eq.077</t>
  </si>
  <si>
    <t>aplanadora autopropulsado</t>
  </si>
  <si>
    <t>eq.078</t>
  </si>
  <si>
    <t>camioneta</t>
  </si>
  <si>
    <t>eq.079</t>
  </si>
  <si>
    <t>eq.082</t>
  </si>
  <si>
    <t>rastra de disco</t>
  </si>
  <si>
    <t>eq.083</t>
  </si>
  <si>
    <t>eq.084</t>
  </si>
  <si>
    <t>eq.085</t>
  </si>
  <si>
    <t>eq.086</t>
  </si>
  <si>
    <t>eq.087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</si>
  <si>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</si>
  <si>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</si>
  <si>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</si>
  <si>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</si>
  <si>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</si>
  <si>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</si>
  <si>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</si>
  <si>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</si>
  <si>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ma.021</t>
  </si>
  <si>
    <t>poste de quebracho entero 2,40m</t>
  </si>
  <si>
    <t>ma.022</t>
  </si>
  <si>
    <t>medio  poste de quebracho 2,20</t>
  </si>
  <si>
    <t>ma.023</t>
  </si>
  <si>
    <t>ma.024</t>
  </si>
  <si>
    <t>mo.005</t>
  </si>
  <si>
    <t>adicional p/especialidad</t>
  </si>
  <si>
    <t>rv.011</t>
  </si>
  <si>
    <t>caño chapa ondulada Ø 0,80 mts.</t>
  </si>
  <si>
    <t>rv.012</t>
  </si>
  <si>
    <t>caño chapa ondulada Ø 1,00 mts.</t>
  </si>
  <si>
    <t>rv.013</t>
  </si>
  <si>
    <t>caño chapa ondulada Ø 2,10 - F1,47 mts.</t>
  </si>
  <si>
    <t>rv.014</t>
  </si>
  <si>
    <t>caño chapa ondulada Ø 2,84 mts; F 1,9 mts</t>
  </si>
  <si>
    <t>rv.015</t>
  </si>
  <si>
    <t>caño chapa ondulada Ø 2,06 mts; F 3,12 mts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</si>
  <si>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</si>
  <si>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</si>
  <si>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</si>
  <si>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</si>
  <si>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</si>
  <si>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</si>
  <si>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</si>
  <si>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</si>
  <si>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</si>
  <si>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</si>
  <si>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</si>
  <si>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</si>
  <si>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</si>
  <si>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</si>
  <si>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rv.023</t>
  </si>
  <si>
    <t>poste metálico altura 630 mm perfil 230x120x13 mm c/placa de anclaje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</si>
  <si>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</si>
  <si>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</si>
  <si>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</si>
  <si>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</si>
  <si>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</si>
  <si>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</si>
  <si>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</si>
  <si>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</si>
  <si>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</si>
  <si>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</si>
  <si>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</si>
  <si>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</si>
  <si>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</si>
  <si>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</si>
  <si>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</si>
  <si>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</si>
  <si>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</si>
  <si>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</si>
  <si>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</si>
  <si>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</si>
  <si>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</si>
  <si>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</si>
  <si>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</si>
  <si>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</si>
  <si>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</si>
  <si>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</si>
  <si>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</si>
  <si>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</si>
  <si>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</si>
  <si>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</si>
  <si>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</si>
  <si>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</si>
  <si>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</si>
  <si>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</si>
  <si>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</si>
  <si>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</si>
  <si>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</si>
  <si>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</si>
  <si>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</si>
  <si>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</si>
  <si>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</si>
  <si>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</si>
  <si>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</si>
  <si>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</si>
  <si>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</si>
  <si>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</si>
  <si>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</si>
  <si>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</si>
  <si>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</si>
  <si>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</si>
  <si>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</si>
  <si>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</si>
  <si>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</si>
  <si>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</si>
  <si>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</si>
  <si>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</si>
  <si>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</si>
  <si>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</si>
  <si>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</si>
  <si>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</si>
  <si>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</si>
  <si>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</si>
  <si>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</si>
  <si>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</si>
  <si>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</si>
  <si>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</si>
  <si>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</si>
  <si>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</si>
  <si>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</si>
  <si>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</si>
  <si>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</si>
  <si>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</si>
  <si>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</si>
  <si>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</si>
  <si>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</si>
  <si>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</si>
  <si>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</si>
  <si>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</si>
  <si>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</si>
  <si>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</si>
  <si>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</si>
  <si>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</si>
  <si>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</si>
  <si>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</si>
  <si>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</si>
  <si>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</si>
  <si>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</si>
  <si>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</si>
  <si>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</si>
  <si>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</si>
  <si>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</si>
  <si>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</si>
  <si>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</si>
  <si>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</si>
  <si>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</si>
  <si>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</si>
  <si>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</si>
  <si>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grupo electrógeno CAT (3306ATAAC) 240 KV Stan by</t>
  </si>
  <si>
    <t>retroexcavadora s/oruga 140 HP 0,80m3</t>
  </si>
  <si>
    <t>dobladora de hierro Trebol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</si>
  <si>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</si>
  <si>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</si>
  <si>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</si>
  <si>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</si>
  <si>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</si>
  <si>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</si>
  <si>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</si>
  <si>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</si>
  <si>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</si>
  <si>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</si>
  <si>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</si>
  <si>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</si>
  <si>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</si>
  <si>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</si>
  <si>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</si>
  <si>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</si>
  <si>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*(RD en Agosto cotizò con IVA)</t>
  </si>
  <si>
    <t>galvitub</t>
  </si>
  <si>
    <t>matafuegos salta CON IVA</t>
  </si>
  <si>
    <t>La  industrial</t>
  </si>
  <si>
    <t>Tubonor</t>
  </si>
  <si>
    <t>promet</t>
  </si>
  <si>
    <t>ceramica del norte</t>
  </si>
  <si>
    <t>promet-hierronort-himeco</t>
  </si>
  <si>
    <t>el milagro - barugel - staneff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</si>
  <si>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</si>
  <si>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</si>
  <si>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</si>
  <si>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</si>
  <si>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</si>
  <si>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</si>
  <si>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</si>
  <si>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</si>
  <si>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</si>
  <si>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</si>
  <si>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</si>
  <si>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</si>
  <si>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</si>
  <si>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</si>
  <si>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</si>
  <si>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</si>
  <si>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</si>
  <si>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</si>
  <si>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</si>
  <si>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</si>
  <si>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</si>
  <si>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</si>
  <si>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</si>
  <si>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ma.025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</si>
  <si>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</si>
  <si>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</si>
  <si>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</si>
  <si>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</si>
  <si>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</si>
  <si>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</si>
  <si>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</si>
  <si>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</si>
  <si>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</si>
  <si>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</si>
  <si>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</si>
  <si>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</si>
  <si>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</si>
  <si>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</si>
  <si>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</si>
  <si>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</si>
  <si>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</si>
  <si>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</si>
  <si>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</si>
  <si>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</si>
  <si>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</si>
  <si>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</si>
  <si>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</si>
  <si>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</si>
  <si>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</si>
  <si>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</si>
  <si>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</si>
  <si>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</si>
  <si>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</si>
  <si>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</si>
  <si>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</si>
  <si>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</si>
  <si>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</si>
  <si>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</si>
  <si>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</si>
  <si>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</si>
  <si>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</si>
  <si>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</si>
  <si>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</si>
  <si>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</si>
  <si>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</si>
  <si>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LLAVE 1 TOM.EXT.LUMIN.MIG.1792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</si>
  <si>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</si>
  <si>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</si>
  <si>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</si>
  <si>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</si>
  <si>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</si>
  <si>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</si>
  <si>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</si>
  <si>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</si>
  <si>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el171</t>
  </si>
  <si>
    <t>pb.010</t>
  </si>
  <si>
    <t>rg.026</t>
  </si>
  <si>
    <t>sa.284</t>
  </si>
  <si>
    <t>CAJA OCTOGONALES GRANDES N°20</t>
  </si>
  <si>
    <t>el172</t>
  </si>
  <si>
    <t>CAJA OCTOGONALES CHICAS N°20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</si>
  <si>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</si>
  <si>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</si>
  <si>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</si>
  <si>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</si>
  <si>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</si>
  <si>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</si>
  <si>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</si>
  <si>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</si>
  <si>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</si>
  <si>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</si>
  <si>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</si>
  <si>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</si>
  <si>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</si>
  <si>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</si>
  <si>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</si>
  <si>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</si>
  <si>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</si>
  <si>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</si>
  <si>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</si>
  <si>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</si>
  <si>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</si>
  <si>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</si>
  <si>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</si>
  <si>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</si>
  <si>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</si>
  <si>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</si>
  <si>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</si>
  <si>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</si>
  <si>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</si>
  <si>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</si>
  <si>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</si>
  <si>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</si>
  <si>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</si>
  <si>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</si>
  <si>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</si>
  <si>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</si>
  <si>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</si>
  <si>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</si>
  <si>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</si>
  <si>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</si>
  <si>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</si>
  <si>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</si>
  <si>
    <t>ca.013b</t>
  </si>
  <si>
    <t>el.175b</t>
  </si>
  <si>
    <t>eq.001b</t>
  </si>
  <si>
    <t>eq.002b</t>
  </si>
  <si>
    <t>re.085b</t>
  </si>
  <si>
    <t>so.016</t>
  </si>
  <si>
    <t>sa.285</t>
  </si>
  <si>
    <t>sa.321</t>
  </si>
  <si>
    <t>sa.322</t>
  </si>
  <si>
    <t>sa.323</t>
  </si>
  <si>
    <t>sa.324</t>
  </si>
  <si>
    <t>sa.325</t>
  </si>
  <si>
    <t>sa.326</t>
  </si>
  <si>
    <t>sa.327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</si>
  <si>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</si>
  <si>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</si>
  <si>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</si>
  <si>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</si>
  <si>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</si>
  <si>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</si>
  <si>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</si>
  <si>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</si>
  <si>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</si>
  <si>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</si>
  <si>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</si>
  <si>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</si>
  <si>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</si>
  <si>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</si>
  <si>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</si>
  <si>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</si>
  <si>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</si>
  <si>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</si>
  <si>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</si>
  <si>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</si>
  <si>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</si>
  <si>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</si>
  <si>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</si>
  <si>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</si>
  <si>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TAPON MACHO IPS 1/2            </t>
  </si>
  <si>
    <t xml:space="preserve">TAPON MACHO IPS 3/4             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</si>
  <si>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</si>
  <si>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</si>
  <si>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</si>
  <si>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</si>
  <si>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</si>
  <si>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</si>
  <si>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</si>
  <si>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</si>
  <si>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</si>
  <si>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</si>
  <si>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</si>
  <si>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</si>
  <si>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</si>
  <si>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</si>
  <si>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</si>
  <si>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</si>
  <si>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</si>
  <si>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</si>
  <si>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</si>
  <si>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</si>
  <si>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pi.033</t>
  </si>
  <si>
    <t>papel lija mediana</t>
  </si>
  <si>
    <t>masilla</t>
  </si>
  <si>
    <t xml:space="preserve">  </t>
  </si>
  <si>
    <t xml:space="preserve">CABLE 2*4 SUBTERRANEO           </t>
  </si>
  <si>
    <t>Importe</t>
  </si>
  <si>
    <t>grupo electrógeno CAT (3306ATAAC) 250 KV Stan by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</si>
  <si>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</si>
  <si>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</si>
  <si>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</si>
  <si>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</si>
  <si>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</si>
  <si>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</si>
  <si>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</si>
  <si>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</si>
  <si>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</si>
  <si>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</si>
  <si>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</si>
  <si>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</si>
  <si>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</si>
  <si>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</si>
  <si>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</si>
  <si>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</si>
  <si>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</si>
  <si>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</si>
  <si>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</si>
  <si>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flotante completo p/tanque 1/2"</t>
  </si>
  <si>
    <t>sa.221</t>
  </si>
  <si>
    <t>sellador p/rosca x 125 cm3</t>
  </si>
  <si>
    <t>conector hierro 3/4"</t>
  </si>
  <si>
    <t>caja octogonal chica ch.20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</si>
  <si>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</si>
  <si>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</si>
  <si>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</si>
  <si>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</si>
  <si>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</si>
  <si>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</si>
  <si>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</si>
  <si>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</si>
  <si>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</si>
  <si>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el.153</t>
  </si>
  <si>
    <t>el.157</t>
  </si>
  <si>
    <t>el.158</t>
  </si>
  <si>
    <t>el.160</t>
  </si>
  <si>
    <t>el.161</t>
  </si>
  <si>
    <t>el.162</t>
  </si>
  <si>
    <t>el.163</t>
  </si>
  <si>
    <t>el.167</t>
  </si>
  <si>
    <t>ladrillo hueco portante 18x 18x30</t>
  </si>
  <si>
    <t>cable cobre desnudo 7 x 0,85 mm2</t>
  </si>
  <si>
    <t>Pegamento p/polyguard 1 litro</t>
  </si>
  <si>
    <t>ga.005</t>
  </si>
  <si>
    <t>Coeficiente</t>
  </si>
  <si>
    <t>camioneta pick up cabina simple</t>
  </si>
  <si>
    <t>MES:   sept-04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</si>
  <si>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</si>
  <si>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</si>
  <si>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</si>
  <si>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</si>
  <si>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</si>
  <si>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</si>
  <si>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</si>
  <si>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</si>
  <si>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</si>
  <si>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</si>
  <si>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</si>
  <si>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</si>
  <si>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</si>
  <si>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</si>
  <si>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</si>
  <si>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</si>
  <si>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</si>
  <si>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</si>
  <si>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</si>
  <si>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</si>
  <si>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</si>
  <si>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</si>
  <si>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</si>
  <si>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</si>
  <si>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</si>
  <si>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</si>
  <si>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</si>
  <si>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</si>
  <si>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</si>
  <si>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</si>
  <si>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</si>
  <si>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</si>
  <si>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</si>
  <si>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</si>
  <si>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</si>
  <si>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</si>
  <si>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</si>
  <si>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</si>
  <si>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</si>
  <si>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</si>
  <si>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</si>
  <si>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</si>
  <si>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</si>
  <si>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</si>
  <si>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</si>
  <si>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</si>
  <si>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</si>
  <si>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</si>
  <si>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</si>
  <si>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</si>
  <si>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</si>
  <si>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</si>
  <si>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</si>
  <si>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</si>
  <si>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</si>
  <si>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</si>
  <si>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</si>
  <si>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</si>
  <si>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</si>
  <si>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</si>
  <si>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</si>
  <si>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</si>
  <si>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</si>
  <si>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</si>
  <si>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</si>
  <si>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</si>
  <si>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</si>
  <si>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</si>
  <si>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</si>
  <si>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</si>
  <si>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</si>
  <si>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</si>
  <si>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</si>
  <si>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</si>
  <si>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</si>
  <si>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</si>
  <si>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</si>
  <si>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</si>
  <si>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</si>
  <si>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</si>
  <si>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</si>
  <si>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</si>
  <si>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</si>
  <si>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</si>
  <si>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</si>
  <si>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</si>
  <si>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</si>
  <si>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</si>
  <si>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</si>
  <si>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</si>
  <si>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</si>
  <si>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</si>
  <si>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</si>
  <si>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</si>
  <si>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</si>
  <si>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</si>
  <si>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</si>
  <si>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</si>
  <si>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</si>
  <si>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</si>
  <si>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</si>
  <si>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</si>
  <si>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</si>
  <si>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</si>
  <si>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</si>
  <si>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</si>
  <si>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</si>
  <si>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</si>
  <si>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</si>
  <si>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</si>
  <si>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</si>
  <si>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</si>
  <si>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</si>
  <si>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</si>
  <si>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</si>
  <si>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</si>
  <si>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</si>
  <si>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</si>
  <si>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</si>
  <si>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</si>
  <si>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</si>
  <si>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</si>
  <si>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</si>
  <si>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</si>
  <si>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</si>
  <si>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</si>
  <si>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</si>
  <si>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</si>
  <si>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</si>
  <si>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</si>
  <si>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</si>
  <si>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</si>
  <si>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</si>
  <si>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</si>
  <si>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</si>
  <si>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</si>
  <si>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</si>
  <si>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</si>
  <si>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</si>
  <si>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</si>
  <si>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</si>
  <si>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</si>
  <si>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</si>
  <si>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</si>
  <si>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</si>
  <si>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</si>
  <si>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</si>
  <si>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</si>
  <si>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</si>
  <si>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</si>
  <si>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</si>
  <si>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</si>
  <si>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</si>
  <si>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</si>
  <si>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</si>
  <si>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</si>
  <si>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</si>
  <si>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</si>
  <si>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</si>
  <si>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</si>
  <si>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</si>
  <si>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</si>
  <si>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</si>
  <si>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</si>
  <si>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</si>
  <si>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</si>
  <si>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</si>
  <si>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</si>
  <si>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</si>
  <si>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</si>
  <si>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</si>
  <si>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</si>
  <si>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</si>
  <si>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</si>
  <si>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</si>
  <si>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ai.012</t>
  </si>
  <si>
    <t>te.003</t>
  </si>
  <si>
    <t>ch.002</t>
  </si>
  <si>
    <t>ch.006</t>
  </si>
  <si>
    <t>la.010</t>
  </si>
  <si>
    <t>bl.003</t>
  </si>
  <si>
    <t>ac.034</t>
  </si>
  <si>
    <t>pi.022</t>
  </si>
  <si>
    <t>ca.001</t>
  </si>
  <si>
    <t>ca.008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</si>
  <si>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</si>
  <si>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</si>
  <si>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</si>
  <si>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</si>
  <si>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</si>
  <si>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</si>
  <si>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</si>
  <si>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</si>
  <si>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sa.090</t>
  </si>
  <si>
    <t>ga.137</t>
  </si>
  <si>
    <t>ga.126</t>
  </si>
  <si>
    <t>ga.010</t>
  </si>
  <si>
    <t>ga.116</t>
  </si>
  <si>
    <t>ga.114</t>
  </si>
  <si>
    <t>ga.113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</si>
  <si>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</si>
  <si>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</si>
  <si>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</si>
  <si>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</si>
  <si>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</si>
  <si>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</si>
  <si>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</si>
  <si>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</si>
  <si>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</si>
  <si>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</si>
  <si>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</si>
  <si>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</si>
  <si>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</si>
  <si>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</si>
  <si>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</si>
  <si>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</si>
  <si>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</si>
  <si>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</si>
  <si>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</si>
  <si>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</si>
  <si>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</si>
  <si>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</si>
  <si>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</si>
  <si>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</si>
  <si>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</si>
  <si>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</si>
  <si>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</si>
  <si>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</si>
  <si>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</si>
  <si>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</si>
  <si>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</si>
  <si>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</si>
  <si>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</si>
  <si>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</si>
  <si>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</si>
  <si>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</si>
  <si>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</si>
  <si>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</si>
  <si>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</si>
  <si>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</si>
  <si>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</si>
  <si>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</si>
  <si>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</si>
  <si>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</si>
  <si>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</si>
  <si>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</si>
  <si>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</si>
  <si>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</si>
  <si>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</si>
  <si>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</si>
  <si>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</si>
  <si>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</si>
  <si>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</si>
  <si>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</si>
  <si>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</si>
  <si>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</si>
  <si>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</si>
  <si>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</si>
  <si>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</si>
  <si>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</si>
  <si>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</si>
  <si>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</si>
  <si>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</si>
  <si>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</si>
  <si>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</si>
  <si>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</si>
  <si>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</si>
  <si>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</si>
  <si>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</si>
  <si>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</si>
  <si>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</si>
  <si>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</si>
  <si>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</si>
  <si>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</si>
  <si>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</si>
  <si>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</si>
  <si>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</si>
  <si>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</si>
  <si>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</si>
  <si>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</si>
  <si>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</si>
  <si>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</si>
  <si>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</si>
  <si>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</si>
  <si>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</si>
  <si>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</si>
  <si>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</si>
  <si>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</si>
  <si>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</si>
  <si>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</si>
  <si>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</si>
  <si>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</si>
  <si>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</si>
  <si>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</si>
  <si>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</si>
  <si>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</si>
  <si>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</si>
  <si>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</si>
  <si>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</si>
  <si>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</si>
  <si>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</si>
  <si>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</si>
  <si>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</si>
  <si>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</si>
  <si>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</si>
  <si>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</si>
  <si>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</si>
  <si>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</si>
  <si>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</si>
  <si>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</si>
  <si>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</si>
  <si>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</si>
  <si>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</si>
  <si>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</si>
  <si>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</si>
  <si>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</si>
  <si>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</si>
  <si>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</si>
  <si>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</si>
  <si>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</si>
  <si>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</si>
  <si>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</si>
  <si>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</si>
  <si>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</si>
  <si>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</si>
  <si>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</si>
  <si>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</si>
  <si>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</si>
  <si>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</si>
  <si>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</si>
  <si>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</si>
  <si>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</si>
  <si>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</si>
  <si>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</si>
  <si>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</si>
  <si>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</si>
  <si>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</si>
  <si>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</si>
  <si>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</si>
  <si>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</si>
  <si>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</si>
  <si>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</si>
  <si>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</si>
  <si>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</si>
  <si>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</si>
  <si>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</si>
  <si>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</si>
  <si>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</si>
  <si>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</si>
  <si>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</si>
  <si>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</si>
  <si>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</si>
  <si>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</si>
  <si>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</si>
  <si>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</si>
  <si>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</si>
  <si>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</si>
  <si>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</si>
  <si>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</si>
  <si>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</si>
  <si>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</si>
  <si>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</si>
  <si>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</si>
  <si>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</si>
  <si>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</si>
  <si>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</si>
  <si>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</si>
  <si>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</si>
  <si>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</si>
  <si>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</si>
  <si>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</si>
  <si>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</si>
  <si>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</si>
  <si>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</si>
  <si>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</si>
  <si>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</si>
  <si>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</si>
  <si>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</si>
  <si>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</si>
  <si>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</si>
  <si>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</si>
  <si>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</si>
  <si>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</si>
  <si>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</si>
  <si>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</si>
  <si>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</si>
  <si>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</si>
  <si>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</si>
  <si>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</si>
  <si>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</si>
  <si>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</si>
  <si>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</si>
  <si>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</si>
  <si>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</si>
  <si>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</si>
  <si>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</si>
  <si>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</si>
  <si>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</si>
  <si>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</si>
  <si>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</si>
  <si>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</si>
  <si>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</si>
  <si>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</si>
  <si>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</si>
  <si>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</si>
  <si>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</si>
  <si>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</si>
  <si>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</si>
  <si>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</si>
  <si>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</si>
  <si>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</si>
  <si>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</si>
  <si>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</si>
  <si>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</si>
  <si>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</si>
  <si>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</si>
  <si>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</si>
  <si>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</si>
  <si>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</si>
  <si>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</si>
  <si>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</si>
  <si>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</si>
  <si>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</si>
  <si>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</si>
  <si>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</si>
  <si>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</si>
  <si>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</si>
  <si>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</si>
  <si>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</si>
  <si>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</si>
  <si>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</si>
  <si>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</si>
  <si>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</si>
  <si>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</si>
  <si>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</si>
  <si>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</si>
  <si>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</si>
  <si>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</si>
  <si>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</si>
  <si>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</si>
  <si>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</si>
  <si>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</si>
  <si>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</si>
  <si>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</si>
  <si>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</si>
  <si>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</si>
  <si>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</si>
  <si>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</si>
  <si>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</si>
  <si>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</si>
  <si>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</si>
  <si>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</si>
  <si>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</si>
  <si>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</si>
  <si>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</si>
  <si>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</si>
  <si>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</si>
  <si>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</si>
  <si>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</si>
  <si>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</si>
  <si>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membrana c/aluminio 4 mm espesor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</si>
  <si>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</si>
  <si>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</si>
  <si>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</si>
  <si>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</si>
  <si>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</si>
  <si>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</si>
  <si>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</si>
  <si>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</si>
  <si>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</si>
  <si>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</si>
  <si>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</si>
  <si>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</si>
  <si>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</si>
  <si>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</si>
  <si>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camión Ford 14000 Diesel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</si>
  <si>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</si>
  <si>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</si>
  <si>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</si>
  <si>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</si>
  <si>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</si>
  <si>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</si>
  <si>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</si>
  <si>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</si>
  <si>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</si>
  <si>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</si>
  <si>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</si>
  <si>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</si>
  <si>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</si>
  <si>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</si>
  <si>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</si>
  <si>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</si>
  <si>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</si>
  <si>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</si>
  <si>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</si>
  <si>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</si>
  <si>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</si>
  <si>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</si>
  <si>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</si>
  <si>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</si>
  <si>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</si>
  <si>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</si>
  <si>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</si>
  <si>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</si>
  <si>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</si>
  <si>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</si>
  <si>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</si>
  <si>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</si>
  <si>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</si>
  <si>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</si>
  <si>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</si>
  <si>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</si>
  <si>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</si>
  <si>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</si>
  <si>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</si>
  <si>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</si>
  <si>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</si>
  <si>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</si>
  <si>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</si>
  <si>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</si>
  <si>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</si>
  <si>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</si>
  <si>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</si>
  <si>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</si>
  <si>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</si>
  <si>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</si>
  <si>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</si>
  <si>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</si>
  <si>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</si>
  <si>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</si>
  <si>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</si>
  <si>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</si>
  <si>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</si>
  <si>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</si>
  <si>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</si>
  <si>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</si>
  <si>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</si>
  <si>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</si>
  <si>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</si>
  <si>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</si>
  <si>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</si>
  <si>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</si>
  <si>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</si>
  <si>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</si>
  <si>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</si>
  <si>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</si>
  <si>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</si>
  <si>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rc.020</t>
  </si>
  <si>
    <t>rv.040</t>
  </si>
  <si>
    <t>abr-2014</t>
  </si>
  <si>
    <t>***</t>
  </si>
  <si>
    <t>EQUIVALENTE A EQ.012</t>
  </si>
  <si>
    <t>A partir de marzo 2014 utilizar eq.012</t>
  </si>
  <si>
    <t>A partir de marzo 2014 utilizar eq.020</t>
  </si>
  <si>
    <t>EQUIVALENTE A EQ.020</t>
  </si>
  <si>
    <t>EQUIVALENTE A EQ.008</t>
  </si>
  <si>
    <t>A partir de marzo 2014 utilizar eq.008</t>
  </si>
  <si>
    <t>li.007 Cal hidratada a granel se deja de relevar a partir de Marzo 2014 - Utilizar li.004</t>
  </si>
  <si>
    <t>Se deja de relevar a partir de Marzo 2014</t>
  </si>
  <si>
    <t>32,98 --&gt; ai.016 placa spanacustic c/fibra vidrio 25 mm (1,22 x 0,61m) se deja de relevar a partir de marzo 2014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</si>
</sst>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.00_);_(&quot;$&quot;\ * \(#,##0.00\);_(&quot;$&quot;\ * &quot;-&quot;??_);_(@_)"/>
    <numFmt numFmtId="173" formatCode="0_)"/>
    <numFmt numFmtId="174" formatCode="_ * #,##0.000_ ;_ * \-#,##0.000_ ;_ * &quot;-&quot;??_ ;_ @_ "/>
    <numFmt numFmtId="175" formatCode="_ * #,##0.00000_ ;_ * \-#,##0.00000_ ;_ * &quot;-&quot;??_ ;_ @_ "/>
    <numFmt numFmtId="176" formatCode="_ * #,##0_ ;_ * \-#,##0_ ;_ * &quot;-&quot;??_ ;_ @_ "/>
    <numFmt numFmtId="177" formatCode="_ &quot;$&quot;\ * #,##0.000_ ;_ &quot;$&quot;\ * \-#,##0.000_ ;_ &quot;$&quot;\ * &quot;-&quot;??_ ;_ @_ "/>
    <numFmt numFmtId="178" formatCode="0.00000"/>
    <numFmt numFmtId="179" formatCode="0.0000"/>
    <numFmt numFmtId="180" formatCode="0.000"/>
    <numFmt numFmtId="181" formatCode="_ * #,##0.0000_ ;_ * \-#,##0.0000_ ;_ * &quot;-&quot;??_ ;_ @_ "/>
    <numFmt numFmtId="182" formatCode="0.0"/>
    <numFmt numFmtId="183" formatCode="_-* #,##0.0000\ _p_t_a_-;\-* #,##0.0000\ _p_t_a_-;_-* &quot;-&quot;????\ _p_t_a_-;_-@_-"/>
    <numFmt numFmtId="184" formatCode="_-* #,##0.000\ _p_t_a_-;\-* #,##0.000\ _p_t_a_-;_-* &quot;-&quot;????\ _p_t_a_-;_-@_-"/>
    <numFmt numFmtId="185" formatCode="_ &quot;$&quot;\ * #,##0.000_ ;_ &quot;$&quot;\ * \-#,##0.000_ ;_ &quot;$&quot;\ * &quot;-&quot;_ ;_ @_ "/>
    <numFmt numFmtId="186" formatCode="#,##0.000_ ;\-#,##0.000\ "/>
    <numFmt numFmtId="187" formatCode="&quot;$&quot;\ #.##000;&quot;$&quot;\ \-#.##000"/>
    <numFmt numFmtId="188" formatCode="&quot;$&quot;\ #,##0.00"/>
    <numFmt numFmtId="189" formatCode="_ * #,##0.0000000000000000000000_ ;_ * \-#,##0.0000000000000000000000_ ;_ * &quot;-&quot;??_ ;_ @_ "/>
    <numFmt numFmtId="190" formatCode="_-* #,##0.000\ _€_-;\-* #,##0.000\ _€_-;_-* &quot;-&quot;???\ _€_-;_-@_-"/>
    <numFmt numFmtId="191" formatCode="[$-2C0A]dddd\,\ dd&quot; de &quot;mmmm&quot; de &quot;yyyy"/>
    <numFmt numFmtId="192" formatCode="[$-2C0A]hh:mm:ss\ AM/PM"/>
  </numFmts>
  <fonts count="72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sz val="10"/>
      <color indexed="9"/>
      <name val="MS Sans Serif"/>
      <family val="2"/>
    </font>
    <font>
      <b/>
      <sz val="13"/>
      <color indexed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Courier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/>
      <top style="double"/>
      <bottom style="dashed"/>
    </border>
    <border>
      <left style="dashed"/>
      <right style="dashed"/>
      <top style="double"/>
      <bottom style="dashed"/>
    </border>
    <border>
      <left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/>
      <top style="dashed"/>
      <bottom style="dashed"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medium"/>
      <right/>
      <top style="dashed"/>
      <bottom/>
    </border>
    <border>
      <left style="dashed"/>
      <right style="dashed"/>
      <top style="dashed"/>
      <bottom/>
    </border>
    <border>
      <left/>
      <right style="dashed"/>
      <top style="dashed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hair"/>
      <bottom style="hair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double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double"/>
    </border>
    <border>
      <left style="hair"/>
      <right style="medium"/>
      <top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3" fontId="2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52">
      <alignment/>
      <protection/>
    </xf>
    <xf numFmtId="0" fontId="10" fillId="34" borderId="0" xfId="52" applyFont="1" applyFill="1">
      <alignment/>
      <protection/>
    </xf>
    <xf numFmtId="0" fontId="10" fillId="35" borderId="12" xfId="52" applyFont="1" applyFill="1" applyBorder="1">
      <alignment/>
      <protection/>
    </xf>
    <xf numFmtId="0" fontId="2" fillId="0" borderId="0" xfId="0" applyFont="1" applyFill="1" applyAlignment="1">
      <alignment horizontal="center"/>
    </xf>
    <xf numFmtId="174" fontId="2" fillId="0" borderId="0" xfId="46" applyNumberFormat="1" applyFont="1" applyAlignment="1">
      <alignment/>
    </xf>
    <xf numFmtId="0" fontId="8" fillId="0" borderId="0" xfId="52" applyFont="1">
      <alignment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15" xfId="52" applyFont="1" applyBorder="1">
      <alignment/>
      <protection/>
    </xf>
    <xf numFmtId="0" fontId="8" fillId="0" borderId="16" xfId="52" applyFont="1" applyBorder="1">
      <alignment/>
      <protection/>
    </xf>
    <xf numFmtId="0" fontId="8" fillId="0" borderId="17" xfId="52" applyFont="1" applyBorder="1">
      <alignment/>
      <protection/>
    </xf>
    <xf numFmtId="176" fontId="8" fillId="0" borderId="13" xfId="46" applyNumberFormat="1" applyFont="1" applyBorder="1" applyAlignment="1">
      <alignment/>
    </xf>
    <xf numFmtId="176" fontId="8" fillId="0" borderId="18" xfId="46" applyNumberFormat="1" applyFont="1" applyBorder="1" applyAlignment="1">
      <alignment/>
    </xf>
    <xf numFmtId="176" fontId="8" fillId="0" borderId="14" xfId="46" applyNumberFormat="1" applyFont="1" applyBorder="1" applyAlignment="1">
      <alignment/>
    </xf>
    <xf numFmtId="0" fontId="8" fillId="0" borderId="0" xfId="52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0" fillId="36" borderId="19" xfId="52" applyFont="1" applyFill="1" applyBorder="1" applyAlignment="1">
      <alignment horizontal="center" vertical="center" wrapText="1"/>
      <protection/>
    </xf>
    <xf numFmtId="0" fontId="3" fillId="37" borderId="19" xfId="52" applyFont="1" applyFill="1" applyBorder="1" applyAlignment="1">
      <alignment horizontal="center" vertical="center" wrapText="1"/>
      <protection/>
    </xf>
    <xf numFmtId="0" fontId="10" fillId="36" borderId="20" xfId="52" applyFont="1" applyFill="1" applyBorder="1" applyAlignment="1">
      <alignment horizontal="center" vertical="center" wrapText="1"/>
      <protection/>
    </xf>
    <xf numFmtId="0" fontId="3" fillId="37" borderId="21" xfId="52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4" fontId="3" fillId="0" borderId="11" xfId="46" applyNumberFormat="1" applyFont="1" applyFill="1" applyBorder="1" applyAlignment="1" applyProtection="1">
      <alignment/>
      <protection/>
    </xf>
    <xf numFmtId="174" fontId="3" fillId="0" borderId="10" xfId="46" applyNumberFormat="1" applyFont="1" applyFill="1" applyBorder="1" applyAlignment="1" applyProtection="1">
      <alignment/>
      <protection/>
    </xf>
    <xf numFmtId="174" fontId="3" fillId="0" borderId="10" xfId="46" applyNumberFormat="1" applyFont="1" applyFill="1" applyBorder="1" applyAlignment="1" applyProtection="1">
      <alignment/>
      <protection/>
    </xf>
    <xf numFmtId="174" fontId="2" fillId="0" borderId="0" xfId="46" applyNumberFormat="1" applyFont="1" applyAlignment="1" applyProtection="1">
      <alignment/>
      <protection/>
    </xf>
    <xf numFmtId="174" fontId="2" fillId="34" borderId="0" xfId="46" applyNumberFormat="1" applyFont="1" applyFill="1" applyAlignment="1">
      <alignment/>
    </xf>
    <xf numFmtId="174" fontId="3" fillId="34" borderId="11" xfId="46" applyNumberFormat="1" applyFont="1" applyFill="1" applyBorder="1" applyAlignment="1" applyProtection="1">
      <alignment/>
      <protection/>
    </xf>
    <xf numFmtId="174" fontId="3" fillId="34" borderId="10" xfId="46" applyNumberFormat="1" applyFont="1" applyFill="1" applyBorder="1" applyAlignment="1" applyProtection="1">
      <alignment/>
      <protection/>
    </xf>
    <xf numFmtId="174" fontId="3" fillId="34" borderId="10" xfId="46" applyNumberFormat="1" applyFont="1" applyFill="1" applyBorder="1" applyAlignment="1" applyProtection="1">
      <alignment/>
      <protection/>
    </xf>
    <xf numFmtId="174" fontId="2" fillId="34" borderId="0" xfId="46" applyNumberFormat="1" applyFont="1" applyFill="1" applyAlignment="1" applyProtection="1">
      <alignment/>
      <protection/>
    </xf>
    <xf numFmtId="174" fontId="2" fillId="34" borderId="11" xfId="46" applyNumberFormat="1" applyFont="1" applyFill="1" applyBorder="1" applyAlignment="1" applyProtection="1">
      <alignment/>
      <protection/>
    </xf>
    <xf numFmtId="174" fontId="11" fillId="34" borderId="10" xfId="46" applyNumberFormat="1" applyFont="1" applyFill="1" applyBorder="1" applyAlignment="1">
      <alignment/>
    </xf>
    <xf numFmtId="174" fontId="2" fillId="34" borderId="10" xfId="46" applyNumberFormat="1" applyFont="1" applyFill="1" applyBorder="1" applyAlignment="1" applyProtection="1">
      <alignment/>
      <protection/>
    </xf>
    <xf numFmtId="174" fontId="2" fillId="0" borderId="0" xfId="46" applyNumberFormat="1" applyFont="1" applyBorder="1" applyAlignment="1" applyProtection="1">
      <alignment horizontal="center"/>
      <protection/>
    </xf>
    <xf numFmtId="174" fontId="2" fillId="0" borderId="0" xfId="46" applyNumberFormat="1" applyFont="1" applyAlignment="1" applyProtection="1">
      <alignment horizontal="center"/>
      <protection/>
    </xf>
    <xf numFmtId="174" fontId="11" fillId="0" borderId="10" xfId="46" applyNumberFormat="1" applyFont="1" applyFill="1" applyBorder="1" applyAlignment="1">
      <alignment/>
    </xf>
    <xf numFmtId="174" fontId="2" fillId="0" borderId="0" xfId="46" applyNumberFormat="1" applyFont="1" applyBorder="1" applyAlignment="1">
      <alignment horizontal="center"/>
    </xf>
    <xf numFmtId="174" fontId="2" fillId="0" borderId="0" xfId="46" applyNumberFormat="1" applyFont="1" applyFill="1" applyAlignment="1" applyProtection="1">
      <alignment/>
      <protection/>
    </xf>
    <xf numFmtId="174" fontId="3" fillId="0" borderId="11" xfId="46" applyNumberFormat="1" applyFont="1" applyFill="1" applyBorder="1" applyAlignment="1">
      <alignment/>
    </xf>
    <xf numFmtId="181" fontId="2" fillId="0" borderId="0" xfId="46" applyNumberFormat="1" applyFont="1" applyAlignment="1">
      <alignment/>
    </xf>
    <xf numFmtId="181" fontId="3" fillId="33" borderId="11" xfId="46" applyNumberFormat="1" applyFont="1" applyFill="1" applyBorder="1" applyAlignment="1" applyProtection="1">
      <alignment/>
      <protection/>
    </xf>
    <xf numFmtId="181" fontId="3" fillId="0" borderId="10" xfId="46" applyNumberFormat="1" applyFont="1" applyFill="1" applyBorder="1" applyAlignment="1" applyProtection="1">
      <alignment/>
      <protection/>
    </xf>
    <xf numFmtId="181" fontId="2" fillId="0" borderId="0" xfId="46" applyNumberFormat="1" applyFont="1" applyAlignment="1" applyProtection="1">
      <alignment/>
      <protection/>
    </xf>
    <xf numFmtId="181" fontId="2" fillId="34" borderId="0" xfId="46" applyNumberFormat="1" applyFont="1" applyFill="1" applyAlignment="1">
      <alignment/>
    </xf>
    <xf numFmtId="181" fontId="3" fillId="34" borderId="10" xfId="46" applyNumberFormat="1" applyFont="1" applyFill="1" applyBorder="1" applyAlignment="1" applyProtection="1">
      <alignment/>
      <protection/>
    </xf>
    <xf numFmtId="181" fontId="2" fillId="34" borderId="0" xfId="46" applyNumberFormat="1" applyFont="1" applyFill="1" applyAlignment="1" applyProtection="1">
      <alignment/>
      <protection/>
    </xf>
    <xf numFmtId="181" fontId="2" fillId="34" borderId="10" xfId="46" applyNumberFormat="1" applyFont="1" applyFill="1" applyBorder="1" applyAlignment="1" applyProtection="1">
      <alignment/>
      <protection/>
    </xf>
    <xf numFmtId="0" fontId="13" fillId="34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34" borderId="0" xfId="0" applyFont="1" applyFill="1" applyAlignment="1" applyProtection="1">
      <alignment horizontal="left"/>
      <protection/>
    </xf>
    <xf numFmtId="173" fontId="11" fillId="0" borderId="0" xfId="0" applyNumberFormat="1" applyFont="1" applyAlignment="1" applyProtection="1">
      <alignment horizontal="left"/>
      <protection/>
    </xf>
    <xf numFmtId="174" fontId="2" fillId="0" borderId="0" xfId="46" applyNumberFormat="1" applyFont="1" applyAlignment="1">
      <alignment horizontal="left"/>
    </xf>
    <xf numFmtId="183" fontId="14" fillId="0" borderId="0" xfId="46" applyNumberFormat="1" applyFont="1" applyFill="1" applyBorder="1" applyAlignment="1" applyProtection="1">
      <alignment/>
      <protection/>
    </xf>
    <xf numFmtId="18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34" borderId="19" xfId="0" applyFont="1" applyFill="1" applyBorder="1" applyAlignment="1" applyProtection="1">
      <alignment horizontal="center"/>
      <protection/>
    </xf>
    <xf numFmtId="180" fontId="2" fillId="0" borderId="0" xfId="0" applyNumberFormat="1" applyFont="1" applyAlignment="1" applyProtection="1">
      <alignment/>
      <protection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180" fontId="2" fillId="33" borderId="0" xfId="0" applyNumberFormat="1" applyFont="1" applyFill="1" applyAlignment="1" applyProtection="1">
      <alignment/>
      <protection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18" fillId="0" borderId="25" xfId="0" applyFont="1" applyBorder="1" applyAlignment="1">
      <alignment horizontal="center"/>
    </xf>
    <xf numFmtId="180" fontId="18" fillId="0" borderId="26" xfId="0" applyNumberFormat="1" applyFont="1" applyBorder="1" applyAlignment="1">
      <alignment/>
    </xf>
    <xf numFmtId="0" fontId="18" fillId="0" borderId="26" xfId="0" applyFont="1" applyBorder="1" applyAlignment="1">
      <alignment horizontal="center"/>
    </xf>
    <xf numFmtId="180" fontId="18" fillId="0" borderId="3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2" fillId="0" borderId="0" xfId="0" applyFont="1" applyFill="1" applyAlignment="1">
      <alignment/>
    </xf>
    <xf numFmtId="180" fontId="0" fillId="0" borderId="0" xfId="0" applyNumberFormat="1" applyAlignment="1">
      <alignment horizontal="center"/>
    </xf>
    <xf numFmtId="0" fontId="5" fillId="0" borderId="0" xfId="0" applyFont="1" applyFill="1" applyAlignment="1">
      <alignment/>
    </xf>
    <xf numFmtId="187" fontId="10" fillId="0" borderId="36" xfId="55" applyNumberFormat="1" applyFont="1" applyFill="1" applyBorder="1" applyAlignment="1">
      <alignment horizontal="right" wrapText="1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 applyProtection="1">
      <alignment horizontal="center"/>
      <protection/>
    </xf>
    <xf numFmtId="0" fontId="2" fillId="34" borderId="38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>
      <alignment horizontal="center"/>
      <protection/>
    </xf>
    <xf numFmtId="173" fontId="2" fillId="34" borderId="28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17" fillId="34" borderId="28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>
      <alignment horizontal="center"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6" fillId="37" borderId="39" xfId="0" applyFont="1" applyFill="1" applyBorder="1" applyAlignment="1" applyProtection="1">
      <alignment horizontal="center" vertical="center"/>
      <protection/>
    </xf>
    <xf numFmtId="0" fontId="6" fillId="37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88" fontId="10" fillId="0" borderId="41" xfId="55" applyNumberFormat="1" applyFont="1" applyFill="1" applyBorder="1" applyAlignment="1">
      <alignment horizontal="right" wrapText="1"/>
      <protection/>
    </xf>
    <xf numFmtId="172" fontId="5" fillId="38" borderId="24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74" fontId="2" fillId="0" borderId="0" xfId="46" applyNumberFormat="1" applyFont="1" applyFill="1" applyAlignment="1">
      <alignment/>
    </xf>
    <xf numFmtId="0" fontId="28" fillId="0" borderId="38" xfId="51" applyFont="1" applyFill="1" applyBorder="1" applyAlignment="1">
      <alignment horizontal="left" wrapText="1"/>
      <protection/>
    </xf>
    <xf numFmtId="0" fontId="28" fillId="0" borderId="24" xfId="51" applyFont="1" applyFill="1" applyBorder="1" applyAlignment="1">
      <alignment horizontal="left" wrapText="1"/>
      <protection/>
    </xf>
    <xf numFmtId="0" fontId="28" fillId="0" borderId="24" xfId="53" applyFont="1" applyFill="1" applyBorder="1" applyAlignment="1">
      <alignment horizontal="left" wrapText="1"/>
      <protection/>
    </xf>
    <xf numFmtId="0" fontId="28" fillId="0" borderId="42" xfId="51" applyFont="1" applyFill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2" fontId="29" fillId="0" borderId="0" xfId="52" applyNumberFormat="1" applyFont="1">
      <alignment/>
      <protection/>
    </xf>
    <xf numFmtId="0" fontId="29" fillId="0" borderId="0" xfId="52" applyFont="1">
      <alignment/>
      <protection/>
    </xf>
    <xf numFmtId="0" fontId="3" fillId="39" borderId="43" xfId="52" applyFont="1" applyFill="1" applyBorder="1" applyAlignment="1">
      <alignment horizontal="center" vertical="center" wrapText="1"/>
      <protection/>
    </xf>
    <xf numFmtId="0" fontId="3" fillId="35" borderId="44" xfId="52" applyFont="1" applyFill="1" applyBorder="1" applyAlignment="1">
      <alignment vertical="center"/>
      <protection/>
    </xf>
    <xf numFmtId="43" fontId="3" fillId="35" borderId="45" xfId="46" applyFont="1" applyFill="1" applyBorder="1" applyAlignment="1">
      <alignment vertical="center"/>
    </xf>
    <xf numFmtId="43" fontId="3" fillId="35" borderId="44" xfId="46" applyFont="1" applyFill="1" applyBorder="1" applyAlignment="1">
      <alignment vertical="center"/>
    </xf>
    <xf numFmtId="10" fontId="3" fillId="35" borderId="44" xfId="59" applyNumberFormat="1" applyFont="1" applyFill="1" applyBorder="1" applyAlignment="1">
      <alignment vertical="center"/>
    </xf>
    <xf numFmtId="43" fontId="3" fillId="40" borderId="44" xfId="46" applyFont="1" applyFill="1" applyBorder="1" applyAlignment="1">
      <alignment vertical="center"/>
    </xf>
    <xf numFmtId="174" fontId="3" fillId="39" borderId="44" xfId="46" applyNumberFormat="1" applyFont="1" applyFill="1" applyBorder="1" applyAlignment="1">
      <alignment vertical="center"/>
    </xf>
    <xf numFmtId="174" fontId="3" fillId="35" borderId="44" xfId="46" applyNumberFormat="1" applyFont="1" applyFill="1" applyBorder="1" applyAlignment="1">
      <alignment vertical="center"/>
    </xf>
    <xf numFmtId="174" fontId="3" fillId="0" borderId="44" xfId="46" applyNumberFormat="1" applyFont="1" applyBorder="1" applyAlignment="1">
      <alignment vertical="center"/>
    </xf>
    <xf numFmtId="43" fontId="3" fillId="41" borderId="46" xfId="46" applyFont="1" applyFill="1" applyBorder="1" applyAlignment="1">
      <alignment vertical="center"/>
    </xf>
    <xf numFmtId="0" fontId="3" fillId="39" borderId="47" xfId="52" applyFont="1" applyFill="1" applyBorder="1" applyAlignment="1">
      <alignment horizontal="center" vertical="center" wrapText="1"/>
      <protection/>
    </xf>
    <xf numFmtId="0" fontId="3" fillId="35" borderId="48" xfId="52" applyFont="1" applyFill="1" applyBorder="1" applyAlignment="1">
      <alignment vertical="center"/>
      <protection/>
    </xf>
    <xf numFmtId="43" fontId="3" fillId="35" borderId="49" xfId="46" applyFont="1" applyFill="1" applyBorder="1" applyAlignment="1">
      <alignment vertical="center"/>
    </xf>
    <xf numFmtId="43" fontId="3" fillId="35" borderId="48" xfId="46" applyFont="1" applyFill="1" applyBorder="1" applyAlignment="1">
      <alignment vertical="center"/>
    </xf>
    <xf numFmtId="10" fontId="3" fillId="35" borderId="48" xfId="59" applyNumberFormat="1" applyFont="1" applyFill="1" applyBorder="1" applyAlignment="1">
      <alignment vertical="center"/>
    </xf>
    <xf numFmtId="43" fontId="3" fillId="40" borderId="48" xfId="46" applyFont="1" applyFill="1" applyBorder="1" applyAlignment="1">
      <alignment vertical="center"/>
    </xf>
    <xf numFmtId="0" fontId="10" fillId="0" borderId="36" xfId="56" applyFont="1" applyFill="1" applyBorder="1" applyAlignment="1">
      <alignment horizontal="left" wrapText="1"/>
      <protection/>
    </xf>
    <xf numFmtId="0" fontId="10" fillId="0" borderId="24" xfId="53" applyFont="1" applyFill="1" applyBorder="1" applyAlignment="1">
      <alignment wrapText="1"/>
      <protection/>
    </xf>
    <xf numFmtId="0" fontId="10" fillId="0" borderId="29" xfId="53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2" fontId="0" fillId="0" borderId="24" xfId="0" applyNumberFormat="1" applyBorder="1" applyAlignment="1" applyProtection="1">
      <alignment horizontal="center"/>
      <protection/>
    </xf>
    <xf numFmtId="2" fontId="0" fillId="0" borderId="24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Alignment="1">
      <alignment horizontal="center"/>
    </xf>
    <xf numFmtId="17" fontId="0" fillId="33" borderId="0" xfId="0" applyNumberFormat="1" applyFill="1" applyAlignment="1">
      <alignment horizontal="center"/>
    </xf>
    <xf numFmtId="0" fontId="10" fillId="0" borderId="36" xfId="57" applyFont="1" applyFill="1" applyBorder="1" applyAlignment="1">
      <alignment wrapText="1"/>
      <protection/>
    </xf>
    <xf numFmtId="0" fontId="10" fillId="0" borderId="24" xfId="57" applyFont="1" applyFill="1" applyBorder="1" applyAlignment="1">
      <alignment wrapText="1"/>
      <protection/>
    </xf>
    <xf numFmtId="0" fontId="10" fillId="0" borderId="24" xfId="57" applyFont="1" applyFill="1" applyBorder="1" applyAlignment="1">
      <alignment horizontal="center" wrapText="1"/>
      <protection/>
    </xf>
    <xf numFmtId="0" fontId="28" fillId="0" borderId="38" xfId="51" applyFont="1" applyFill="1" applyBorder="1" applyAlignment="1">
      <alignment horizontal="center" wrapText="1"/>
      <protection/>
    </xf>
    <xf numFmtId="0" fontId="28" fillId="0" borderId="24" xfId="51" applyFont="1" applyFill="1" applyBorder="1" applyAlignment="1">
      <alignment horizontal="center" wrapText="1"/>
      <protection/>
    </xf>
    <xf numFmtId="0" fontId="28" fillId="0" borderId="24" xfId="53" applyFont="1" applyFill="1" applyBorder="1" applyAlignment="1">
      <alignment horizontal="center" wrapText="1"/>
      <protection/>
    </xf>
    <xf numFmtId="0" fontId="28" fillId="0" borderId="42" xfId="51" applyFont="1" applyFill="1" applyBorder="1" applyAlignment="1">
      <alignment horizontal="center" wrapText="1"/>
      <protection/>
    </xf>
    <xf numFmtId="0" fontId="5" fillId="0" borderId="2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9" xfId="53" applyFont="1" applyFill="1" applyBorder="1" applyAlignment="1">
      <alignment horizontal="center" wrapText="1"/>
      <protection/>
    </xf>
    <xf numFmtId="0" fontId="10" fillId="0" borderId="24" xfId="53" applyFont="1" applyFill="1" applyBorder="1" applyAlignment="1">
      <alignment horizontal="center" wrapText="1"/>
      <protection/>
    </xf>
    <xf numFmtId="0" fontId="3" fillId="39" borderId="50" xfId="52" applyFont="1" applyFill="1" applyBorder="1" applyAlignment="1">
      <alignment horizontal="center" vertical="center" wrapText="1"/>
      <protection/>
    </xf>
    <xf numFmtId="0" fontId="3" fillId="35" borderId="51" xfId="52" applyFont="1" applyFill="1" applyBorder="1" applyAlignment="1">
      <alignment vertical="center"/>
      <protection/>
    </xf>
    <xf numFmtId="43" fontId="3" fillId="35" borderId="52" xfId="46" applyFont="1" applyFill="1" applyBorder="1" applyAlignment="1">
      <alignment vertical="center"/>
    </xf>
    <xf numFmtId="43" fontId="3" fillId="35" borderId="51" xfId="46" applyFont="1" applyFill="1" applyBorder="1" applyAlignment="1">
      <alignment vertical="center"/>
    </xf>
    <xf numFmtId="10" fontId="3" fillId="35" borderId="51" xfId="59" applyNumberFormat="1" applyFont="1" applyFill="1" applyBorder="1" applyAlignment="1">
      <alignment vertical="center"/>
    </xf>
    <xf numFmtId="43" fontId="3" fillId="40" borderId="51" xfId="46" applyFont="1" applyFill="1" applyBorder="1" applyAlignment="1">
      <alignment vertical="center"/>
    </xf>
    <xf numFmtId="0" fontId="8" fillId="0" borderId="24" xfId="52" applyBorder="1">
      <alignment/>
      <protection/>
    </xf>
    <xf numFmtId="0" fontId="8" fillId="42" borderId="24" xfId="52" applyFill="1" applyBorder="1">
      <alignment/>
      <protection/>
    </xf>
    <xf numFmtId="0" fontId="5" fillId="33" borderId="0" xfId="0" applyFont="1" applyFill="1" applyBorder="1" applyAlignment="1">
      <alignment/>
    </xf>
    <xf numFmtId="182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179" fontId="5" fillId="33" borderId="0" xfId="0" applyNumberFormat="1" applyFont="1" applyFill="1" applyBorder="1" applyAlignment="1">
      <alignment/>
    </xf>
    <xf numFmtId="0" fontId="10" fillId="0" borderId="24" xfId="54" applyFont="1" applyFill="1" applyBorder="1" applyAlignment="1">
      <alignment wrapText="1"/>
      <protection/>
    </xf>
    <xf numFmtId="4" fontId="8" fillId="0" borderId="24" xfId="52" applyNumberFormat="1" applyBorder="1">
      <alignment/>
      <protection/>
    </xf>
    <xf numFmtId="10" fontId="8" fillId="0" borderId="24" xfId="52" applyNumberFormat="1" applyBorder="1">
      <alignment/>
      <protection/>
    </xf>
    <xf numFmtId="0" fontId="0" fillId="0" borderId="0" xfId="0" applyFill="1" applyAlignment="1">
      <alignment/>
    </xf>
    <xf numFmtId="0" fontId="10" fillId="0" borderId="24" xfId="54" applyFont="1" applyFill="1" applyBorder="1" applyAlignment="1">
      <alignment horizontal="center" wrapText="1"/>
      <protection/>
    </xf>
    <xf numFmtId="0" fontId="3" fillId="0" borderId="24" xfId="53" applyFont="1" applyFill="1" applyBorder="1" applyAlignment="1">
      <alignment wrapText="1"/>
      <protection/>
    </xf>
    <xf numFmtId="0" fontId="31" fillId="0" borderId="42" xfId="0" applyFont="1" applyBorder="1" applyAlignment="1">
      <alignment horizontal="center"/>
    </xf>
    <xf numFmtId="0" fontId="2" fillId="34" borderId="24" xfId="0" applyFont="1" applyFill="1" applyBorder="1" applyAlignment="1" applyProtection="1">
      <alignment horizontal="center"/>
      <protection/>
    </xf>
    <xf numFmtId="0" fontId="3" fillId="0" borderId="24" xfId="53" applyFont="1" applyFill="1" applyBorder="1" applyAlignment="1">
      <alignment horizontal="center" wrapText="1"/>
      <protection/>
    </xf>
    <xf numFmtId="0" fontId="2" fillId="0" borderId="53" xfId="0" applyFont="1" applyFill="1" applyBorder="1" applyAlignment="1" applyProtection="1">
      <alignment wrapText="1"/>
      <protection/>
    </xf>
    <xf numFmtId="0" fontId="10" fillId="0" borderId="54" xfId="56" applyFont="1" applyFill="1" applyBorder="1" applyAlignment="1">
      <alignment horizontal="left" wrapText="1"/>
      <protection/>
    </xf>
    <xf numFmtId="0" fontId="10" fillId="0" borderId="24" xfId="56" applyFont="1" applyFill="1" applyBorder="1" applyAlignment="1">
      <alignment horizontal="left" wrapText="1"/>
      <protection/>
    </xf>
    <xf numFmtId="0" fontId="2" fillId="34" borderId="28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188" fontId="7" fillId="0" borderId="57" xfId="46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88" fontId="2" fillId="0" borderId="0" xfId="46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3" fillId="41" borderId="11" xfId="0" applyFont="1" applyFill="1" applyBorder="1" applyAlignment="1" applyProtection="1">
      <alignment/>
      <protection/>
    </xf>
    <xf numFmtId="181" fontId="3" fillId="41" borderId="11" xfId="46" applyNumberFormat="1" applyFont="1" applyFill="1" applyBorder="1" applyAlignment="1" applyProtection="1">
      <alignment/>
      <protection/>
    </xf>
    <xf numFmtId="174" fontId="2" fillId="0" borderId="10" xfId="46" applyNumberFormat="1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81" fontId="2" fillId="0" borderId="0" xfId="46" applyNumberFormat="1" applyFont="1" applyFill="1" applyAlignment="1" applyProtection="1">
      <alignment/>
      <protection/>
    </xf>
    <xf numFmtId="0" fontId="2" fillId="41" borderId="11" xfId="0" applyFont="1" applyFill="1" applyBorder="1" applyAlignment="1" applyProtection="1">
      <alignment/>
      <protection/>
    </xf>
    <xf numFmtId="181" fontId="2" fillId="41" borderId="11" xfId="46" applyNumberFormat="1" applyFont="1" applyFill="1" applyBorder="1" applyAlignment="1" applyProtection="1">
      <alignment/>
      <protection/>
    </xf>
    <xf numFmtId="181" fontId="3" fillId="41" borderId="11" xfId="46" applyNumberFormat="1" applyFont="1" applyFill="1" applyBorder="1" applyAlignment="1" applyProtection="1">
      <alignment/>
      <protection/>
    </xf>
    <xf numFmtId="0" fontId="8" fillId="38" borderId="0" xfId="52" applyFill="1">
      <alignment/>
      <protection/>
    </xf>
    <xf numFmtId="0" fontId="8" fillId="38" borderId="0" xfId="52" applyFont="1" applyFill="1" applyAlignment="1">
      <alignment horizontal="center"/>
      <protection/>
    </xf>
    <xf numFmtId="0" fontId="8" fillId="38" borderId="0" xfId="52" applyFill="1" applyAlignment="1">
      <alignment horizontal="center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4" xfId="53" applyFont="1" applyFill="1" applyBorder="1" applyAlignment="1">
      <alignment wrapText="1"/>
      <protection/>
    </xf>
    <xf numFmtId="0" fontId="2" fillId="0" borderId="24" xfId="53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28" fillId="43" borderId="24" xfId="51" applyFont="1" applyFill="1" applyBorder="1" applyAlignment="1">
      <alignment horizontal="center" wrapText="1"/>
      <protection/>
    </xf>
    <xf numFmtId="0" fontId="28" fillId="43" borderId="28" xfId="51" applyFont="1" applyFill="1" applyBorder="1" applyAlignment="1">
      <alignment horizontal="center" wrapText="1"/>
      <protection/>
    </xf>
    <xf numFmtId="0" fontId="28" fillId="43" borderId="28" xfId="53" applyFont="1" applyFill="1" applyBorder="1" applyAlignment="1">
      <alignment horizontal="center" wrapText="1"/>
      <protection/>
    </xf>
    <xf numFmtId="0" fontId="28" fillId="43" borderId="58" xfId="51" applyFont="1" applyFill="1" applyBorder="1" applyAlignment="1">
      <alignment horizontal="center" wrapText="1"/>
      <protection/>
    </xf>
    <xf numFmtId="0" fontId="28" fillId="0" borderId="37" xfId="51" applyFont="1" applyFill="1" applyBorder="1" applyAlignment="1">
      <alignment horizontal="center" wrapText="1"/>
      <protection/>
    </xf>
    <xf numFmtId="0" fontId="28" fillId="0" borderId="28" xfId="51" applyFont="1" applyFill="1" applyBorder="1" applyAlignment="1">
      <alignment horizontal="center" wrapText="1"/>
      <protection/>
    </xf>
    <xf numFmtId="0" fontId="28" fillId="0" borderId="58" xfId="51" applyFont="1" applyFill="1" applyBorder="1" applyAlignment="1">
      <alignment horizontal="center" wrapText="1"/>
      <protection/>
    </xf>
    <xf numFmtId="0" fontId="28" fillId="0" borderId="29" xfId="51" applyFont="1" applyFill="1" applyBorder="1" applyAlignment="1">
      <alignment horizontal="center" wrapText="1"/>
      <protection/>
    </xf>
    <xf numFmtId="0" fontId="2" fillId="44" borderId="24" xfId="0" applyFont="1" applyFill="1" applyBorder="1" applyAlignment="1" applyProtection="1">
      <alignment horizontal="center"/>
      <protection/>
    </xf>
    <xf numFmtId="0" fontId="10" fillId="45" borderId="24" xfId="54" applyFont="1" applyFill="1" applyBorder="1" applyAlignment="1">
      <alignment horizontal="center" wrapText="1"/>
      <protection/>
    </xf>
    <xf numFmtId="17" fontId="7" fillId="0" borderId="0" xfId="46" applyNumberFormat="1" applyFont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left"/>
      <protection/>
    </xf>
    <xf numFmtId="173" fontId="2" fillId="34" borderId="0" xfId="0" applyNumberFormat="1" applyFont="1" applyFill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wrapText="1"/>
    </xf>
    <xf numFmtId="0" fontId="6" fillId="37" borderId="39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wrapText="1"/>
      <protection/>
    </xf>
    <xf numFmtId="0" fontId="2" fillId="34" borderId="24" xfId="0" applyFont="1" applyFill="1" applyBorder="1" applyAlignment="1" applyProtection="1">
      <alignment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38" borderId="24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34" borderId="24" xfId="0" applyFont="1" applyFill="1" applyBorder="1" applyAlignment="1" applyProtection="1">
      <alignment wrapText="1"/>
      <protection/>
    </xf>
    <xf numFmtId="0" fontId="2" fillId="0" borderId="24" xfId="0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0" fillId="0" borderId="24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5" fillId="46" borderId="0" xfId="0" applyFont="1" applyFill="1" applyAlignment="1">
      <alignment wrapText="1"/>
    </xf>
    <xf numFmtId="17" fontId="6" fillId="0" borderId="0" xfId="46" applyNumberFormat="1" applyFont="1" applyAlignment="1" applyProtection="1">
      <alignment horizontal="center" wrapText="1"/>
      <protection/>
    </xf>
    <xf numFmtId="188" fontId="5" fillId="0" borderId="0" xfId="46" applyNumberFormat="1" applyFont="1" applyAlignment="1">
      <alignment wrapText="1"/>
    </xf>
    <xf numFmtId="189" fontId="2" fillId="0" borderId="0" xfId="46" applyNumberFormat="1" applyFont="1" applyAlignment="1">
      <alignment wrapText="1"/>
    </xf>
    <xf numFmtId="174" fontId="5" fillId="0" borderId="0" xfId="46" applyNumberFormat="1" applyFont="1" applyAlignment="1">
      <alignment wrapText="1"/>
    </xf>
    <xf numFmtId="177" fontId="5" fillId="0" borderId="0" xfId="48" applyNumberFormat="1" applyFont="1" applyAlignment="1">
      <alignment wrapText="1"/>
    </xf>
    <xf numFmtId="188" fontId="5" fillId="42" borderId="0" xfId="46" applyNumberFormat="1" applyFont="1" applyFill="1" applyBorder="1" applyAlignment="1">
      <alignment wrapText="1"/>
    </xf>
    <xf numFmtId="177" fontId="6" fillId="37" borderId="59" xfId="48" applyNumberFormat="1" applyFont="1" applyFill="1" applyBorder="1" applyAlignment="1">
      <alignment horizontal="center" vertical="center" wrapText="1"/>
    </xf>
    <xf numFmtId="188" fontId="6" fillId="37" borderId="60" xfId="46" applyNumberFormat="1" applyFont="1" applyFill="1" applyBorder="1" applyAlignment="1" applyProtection="1">
      <alignment horizontal="center" vertical="center" wrapText="1"/>
      <protection/>
    </xf>
    <xf numFmtId="189" fontId="6" fillId="37" borderId="61" xfId="46" applyNumberFormat="1" applyFont="1" applyFill="1" applyBorder="1" applyAlignment="1">
      <alignment horizontal="center" vertical="center" wrapText="1"/>
    </xf>
    <xf numFmtId="174" fontId="6" fillId="37" borderId="62" xfId="46" applyNumberFormat="1" applyFont="1" applyFill="1" applyBorder="1" applyAlignment="1">
      <alignment horizontal="center" vertical="center" wrapText="1"/>
    </xf>
    <xf numFmtId="0" fontId="5" fillId="38" borderId="0" xfId="0" applyFont="1" applyFill="1" applyAlignment="1">
      <alignment wrapText="1"/>
    </xf>
    <xf numFmtId="177" fontId="6" fillId="37" borderId="39" xfId="48" applyNumberFormat="1" applyFont="1" applyFill="1" applyBorder="1" applyAlignment="1">
      <alignment horizontal="center" vertical="center" wrapText="1"/>
    </xf>
    <xf numFmtId="172" fontId="5" fillId="38" borderId="24" xfId="0" applyNumberFormat="1" applyFont="1" applyFill="1" applyBorder="1" applyAlignment="1">
      <alignment wrapText="1"/>
    </xf>
    <xf numFmtId="188" fontId="21" fillId="0" borderId="63" xfId="0" applyNumberFormat="1" applyFont="1" applyFill="1" applyBorder="1" applyAlignment="1" applyProtection="1">
      <alignment wrapText="1"/>
      <protection locked="0"/>
    </xf>
    <xf numFmtId="189" fontId="17" fillId="0" borderId="38" xfId="0" applyNumberFormat="1" applyFont="1" applyFill="1" applyBorder="1" applyAlignment="1" applyProtection="1">
      <alignment wrapText="1"/>
      <protection locked="0"/>
    </xf>
    <xf numFmtId="180" fontId="17" fillId="34" borderId="64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88" fontId="21" fillId="0" borderId="65" xfId="0" applyNumberFormat="1" applyFont="1" applyFill="1" applyBorder="1" applyAlignment="1" applyProtection="1">
      <alignment wrapText="1"/>
      <protection locked="0"/>
    </xf>
    <xf numFmtId="189" fontId="17" fillId="0" borderId="24" xfId="0" applyNumberFormat="1" applyFont="1" applyFill="1" applyBorder="1" applyAlignment="1" applyProtection="1">
      <alignment wrapText="1"/>
      <protection locked="0"/>
    </xf>
    <xf numFmtId="180" fontId="17" fillId="34" borderId="32" xfId="0" applyNumberFormat="1" applyFont="1" applyFill="1" applyBorder="1" applyAlignment="1" applyProtection="1">
      <alignment wrapText="1"/>
      <protection locked="0"/>
    </xf>
    <xf numFmtId="180" fontId="5" fillId="0" borderId="0" xfId="0" applyNumberFormat="1" applyFont="1" applyAlignment="1">
      <alignment wrapText="1"/>
    </xf>
    <xf numFmtId="189" fontId="17" fillId="34" borderId="24" xfId="0" applyNumberFormat="1" applyFont="1" applyFill="1" applyBorder="1" applyAlignment="1" applyProtection="1">
      <alignment wrapText="1"/>
      <protection locked="0"/>
    </xf>
    <xf numFmtId="180" fontId="17" fillId="34" borderId="32" xfId="48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188" fontId="17" fillId="0" borderId="65" xfId="0" applyNumberFormat="1" applyFont="1" applyFill="1" applyBorder="1" applyAlignment="1" applyProtection="1">
      <alignment wrapText="1"/>
      <protection locked="0"/>
    </xf>
    <xf numFmtId="188" fontId="17" fillId="46" borderId="65" xfId="48" applyNumberFormat="1" applyFont="1" applyFill="1" applyBorder="1" applyAlignment="1">
      <alignment wrapText="1"/>
    </xf>
    <xf numFmtId="177" fontId="17" fillId="34" borderId="32" xfId="48" applyNumberFormat="1" applyFont="1" applyFill="1" applyBorder="1" applyAlignment="1">
      <alignment wrapText="1"/>
    </xf>
    <xf numFmtId="188" fontId="21" fillId="34" borderId="65" xfId="0" applyNumberFormat="1" applyFont="1" applyFill="1" applyBorder="1" applyAlignment="1" applyProtection="1">
      <alignment wrapText="1"/>
      <protection locked="0"/>
    </xf>
    <xf numFmtId="189" fontId="17" fillId="0" borderId="24" xfId="0" applyNumberFormat="1" applyFont="1" applyBorder="1" applyAlignment="1" applyProtection="1">
      <alignment wrapText="1"/>
      <protection locked="0"/>
    </xf>
    <xf numFmtId="0" fontId="17" fillId="34" borderId="32" xfId="0" applyFont="1" applyFill="1" applyBorder="1" applyAlignment="1" applyProtection="1">
      <alignment wrapText="1"/>
      <protection locked="0"/>
    </xf>
    <xf numFmtId="0" fontId="5" fillId="34" borderId="0" xfId="0" applyFont="1" applyFill="1" applyAlignment="1">
      <alignment wrapText="1"/>
    </xf>
    <xf numFmtId="180" fontId="21" fillId="34" borderId="32" xfId="0" applyNumberFormat="1" applyFont="1" applyFill="1" applyBorder="1" applyAlignment="1" applyProtection="1">
      <alignment wrapText="1"/>
      <protection locked="0"/>
    </xf>
    <xf numFmtId="180" fontId="17" fillId="0" borderId="32" xfId="0" applyNumberFormat="1" applyFont="1" applyBorder="1" applyAlignment="1" applyProtection="1">
      <alignment wrapText="1"/>
      <protection locked="0"/>
    </xf>
    <xf numFmtId="188" fontId="17" fillId="34" borderId="65" xfId="0" applyNumberFormat="1" applyFont="1" applyFill="1" applyBorder="1" applyAlignment="1" applyProtection="1">
      <alignment wrapText="1"/>
      <protection locked="0"/>
    </xf>
    <xf numFmtId="180" fontId="21" fillId="34" borderId="32" xfId="48" applyNumberFormat="1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80" fontId="17" fillId="0" borderId="32" xfId="0" applyNumberFormat="1" applyFont="1" applyFill="1" applyBorder="1" applyAlignment="1" applyProtection="1">
      <alignment wrapText="1"/>
      <protection locked="0"/>
    </xf>
    <xf numFmtId="0" fontId="17" fillId="0" borderId="32" xfId="0" applyFont="1" applyFill="1" applyBorder="1" applyAlignment="1" applyProtection="1">
      <alignment wrapText="1"/>
      <protection locked="0"/>
    </xf>
    <xf numFmtId="0" fontId="19" fillId="0" borderId="0" xfId="0" applyFont="1" applyAlignment="1">
      <alignment wrapText="1"/>
    </xf>
    <xf numFmtId="180" fontId="2" fillId="0" borderId="19" xfId="0" applyNumberFormat="1" applyFont="1" applyFill="1" applyBorder="1" applyAlignment="1" applyProtection="1">
      <alignment wrapText="1"/>
      <protection locked="0"/>
    </xf>
    <xf numFmtId="188" fontId="22" fillId="0" borderId="65" xfId="48" applyNumberFormat="1" applyFont="1" applyFill="1" applyBorder="1" applyAlignment="1">
      <alignment horizontal="right" wrapText="1"/>
    </xf>
    <xf numFmtId="188" fontId="21" fillId="0" borderId="65" xfId="46" applyNumberFormat="1" applyFont="1" applyBorder="1" applyAlignment="1">
      <alignment wrapText="1"/>
    </xf>
    <xf numFmtId="188" fontId="21" fillId="0" borderId="65" xfId="0" applyNumberFormat="1" applyFont="1" applyBorder="1" applyAlignment="1" applyProtection="1">
      <alignment horizontal="right" wrapText="1"/>
      <protection locked="0"/>
    </xf>
    <xf numFmtId="189" fontId="17" fillId="0" borderId="24" xfId="0" applyNumberFormat="1" applyFont="1" applyFill="1" applyBorder="1" applyAlignment="1" applyProtection="1">
      <alignment horizontal="right" wrapText="1"/>
      <protection locked="0"/>
    </xf>
    <xf numFmtId="188" fontId="21" fillId="0" borderId="65" xfId="0" applyNumberFormat="1" applyFont="1" applyBorder="1" applyAlignment="1" applyProtection="1">
      <alignment wrapText="1"/>
      <protection locked="0"/>
    </xf>
    <xf numFmtId="189" fontId="17" fillId="0" borderId="24" xfId="0" applyNumberFormat="1" applyFont="1" applyFill="1" applyBorder="1" applyAlignment="1">
      <alignment vertical="center" wrapText="1"/>
    </xf>
    <xf numFmtId="188" fontId="17" fillId="0" borderId="65" xfId="0" applyNumberFormat="1" applyFont="1" applyBorder="1" applyAlignment="1" applyProtection="1">
      <alignment wrapText="1"/>
      <protection locked="0"/>
    </xf>
    <xf numFmtId="174" fontId="21" fillId="0" borderId="24" xfId="0" applyNumberFormat="1" applyFont="1" applyFill="1" applyBorder="1" applyAlignment="1">
      <alignment vertical="center" wrapText="1"/>
    </xf>
    <xf numFmtId="174" fontId="26" fillId="0" borderId="24" xfId="0" applyNumberFormat="1" applyFont="1" applyFill="1" applyBorder="1" applyAlignment="1">
      <alignment vertical="center" wrapText="1"/>
    </xf>
    <xf numFmtId="174" fontId="17" fillId="0" borderId="24" xfId="0" applyNumberFormat="1" applyFont="1" applyFill="1" applyBorder="1" applyAlignment="1">
      <alignment vertical="center" wrapText="1"/>
    </xf>
    <xf numFmtId="188" fontId="26" fillId="0" borderId="65" xfId="0" applyNumberFormat="1" applyFont="1" applyBorder="1" applyAlignment="1" applyProtection="1">
      <alignment wrapText="1"/>
      <protection locked="0"/>
    </xf>
    <xf numFmtId="0" fontId="17" fillId="34" borderId="32" xfId="0" applyFont="1" applyFill="1" applyBorder="1" applyAlignment="1" applyProtection="1">
      <alignment wrapText="1"/>
      <protection/>
    </xf>
    <xf numFmtId="188" fontId="26" fillId="0" borderId="65" xfId="0" applyNumberFormat="1" applyFont="1" applyFill="1" applyBorder="1" applyAlignment="1" applyProtection="1">
      <alignment wrapText="1"/>
      <protection locked="0"/>
    </xf>
    <xf numFmtId="189" fontId="17" fillId="34" borderId="24" xfId="0" applyNumberFormat="1" applyFont="1" applyFill="1" applyBorder="1" applyAlignment="1" applyProtection="1">
      <alignment wrapText="1"/>
      <protection/>
    </xf>
    <xf numFmtId="174" fontId="17" fillId="34" borderId="32" xfId="46" applyNumberFormat="1" applyFont="1" applyFill="1" applyBorder="1" applyAlignment="1" applyProtection="1">
      <alignment wrapText="1"/>
      <protection/>
    </xf>
    <xf numFmtId="189" fontId="17" fillId="34" borderId="24" xfId="46" applyNumberFormat="1" applyFont="1" applyFill="1" applyBorder="1" applyAlignment="1" applyProtection="1">
      <alignment wrapText="1"/>
      <protection/>
    </xf>
    <xf numFmtId="174" fontId="17" fillId="34" borderId="32" xfId="46" applyNumberFormat="1" applyFont="1" applyFill="1" applyBorder="1" applyAlignment="1" applyProtection="1">
      <alignment wrapText="1"/>
      <protection locked="0"/>
    </xf>
    <xf numFmtId="189" fontId="17" fillId="34" borderId="24" xfId="46" applyNumberFormat="1" applyFont="1" applyFill="1" applyBorder="1" applyAlignment="1" applyProtection="1">
      <alignment wrapText="1"/>
      <protection locked="0"/>
    </xf>
    <xf numFmtId="0" fontId="2" fillId="34" borderId="0" xfId="0" applyFont="1" applyFill="1" applyAlignment="1">
      <alignment wrapText="1"/>
    </xf>
    <xf numFmtId="179" fontId="5" fillId="0" borderId="0" xfId="0" applyNumberFormat="1" applyFont="1" applyAlignment="1">
      <alignment wrapText="1"/>
    </xf>
    <xf numFmtId="0" fontId="10" fillId="47" borderId="66" xfId="55" applyFont="1" applyFill="1" applyBorder="1" applyAlignment="1">
      <alignment horizontal="center" wrapText="1"/>
      <protection/>
    </xf>
    <xf numFmtId="188" fontId="26" fillId="0" borderId="65" xfId="46" applyNumberFormat="1" applyFont="1" applyFill="1" applyBorder="1" applyAlignment="1" applyProtection="1">
      <alignment wrapText="1"/>
      <protection locked="0"/>
    </xf>
    <xf numFmtId="188" fontId="17" fillId="41" borderId="65" xfId="46" applyNumberFormat="1" applyFont="1" applyFill="1" applyBorder="1" applyAlignment="1" applyProtection="1">
      <alignment wrapText="1"/>
      <protection/>
    </xf>
    <xf numFmtId="189" fontId="19" fillId="34" borderId="24" xfId="46" applyNumberFormat="1" applyFont="1" applyFill="1" applyBorder="1" applyAlignment="1" applyProtection="1">
      <alignment wrapText="1"/>
      <protection/>
    </xf>
    <xf numFmtId="174" fontId="17" fillId="34" borderId="67" xfId="46" applyNumberFormat="1" applyFont="1" applyFill="1" applyBorder="1" applyAlignment="1" applyProtection="1" quotePrefix="1">
      <alignment wrapText="1"/>
      <protection locked="0"/>
    </xf>
    <xf numFmtId="188" fontId="17" fillId="34" borderId="65" xfId="46" applyNumberFormat="1" applyFont="1" applyFill="1" applyBorder="1" applyAlignment="1" applyProtection="1">
      <alignment wrapText="1"/>
      <protection locked="0"/>
    </xf>
    <xf numFmtId="174" fontId="26" fillId="34" borderId="32" xfId="46" applyNumberFormat="1" applyFont="1" applyFill="1" applyBorder="1" applyAlignment="1" applyProtection="1" quotePrefix="1">
      <alignment wrapText="1"/>
      <protection locked="0"/>
    </xf>
    <xf numFmtId="0" fontId="2" fillId="41" borderId="0" xfId="0" applyFont="1" applyFill="1" applyAlignment="1">
      <alignment wrapText="1"/>
    </xf>
    <xf numFmtId="177" fontId="26" fillId="33" borderId="32" xfId="48" applyNumberFormat="1" applyFont="1" applyFill="1" applyBorder="1" applyAlignment="1">
      <alignment wrapText="1"/>
    </xf>
    <xf numFmtId="174" fontId="17" fillId="33" borderId="32" xfId="46" applyNumberFormat="1" applyFont="1" applyFill="1" applyBorder="1" applyAlignment="1" applyProtection="1">
      <alignment wrapText="1"/>
      <protection/>
    </xf>
    <xf numFmtId="177" fontId="17" fillId="33" borderId="32" xfId="48" applyNumberFormat="1" applyFont="1" applyFill="1" applyBorder="1" applyAlignment="1" applyProtection="1">
      <alignment wrapText="1"/>
      <protection/>
    </xf>
    <xf numFmtId="188" fontId="19" fillId="48" borderId="65" xfId="46" applyNumberFormat="1" applyFont="1" applyFill="1" applyBorder="1" applyAlignment="1">
      <alignment wrapText="1"/>
    </xf>
    <xf numFmtId="189" fontId="17" fillId="48" borderId="24" xfId="46" applyNumberFormat="1" applyFont="1" applyFill="1" applyBorder="1" applyAlignment="1" applyProtection="1">
      <alignment wrapText="1"/>
      <protection locked="0"/>
    </xf>
    <xf numFmtId="174" fontId="17" fillId="34" borderId="18" xfId="46" applyNumberFormat="1" applyFont="1" applyFill="1" applyBorder="1" applyAlignment="1" applyProtection="1" quotePrefix="1">
      <alignment wrapText="1"/>
      <protection locked="0"/>
    </xf>
    <xf numFmtId="188" fontId="26" fillId="42" borderId="65" xfId="46" applyNumberFormat="1" applyFont="1" applyFill="1" applyBorder="1" applyAlignment="1" applyProtection="1">
      <alignment wrapText="1"/>
      <protection locked="0"/>
    </xf>
    <xf numFmtId="188" fontId="17" fillId="0" borderId="65" xfId="46" applyNumberFormat="1" applyFont="1" applyFill="1" applyBorder="1" applyAlignment="1" applyProtection="1">
      <alignment wrapText="1"/>
      <protection locked="0"/>
    </xf>
    <xf numFmtId="0" fontId="5" fillId="42" borderId="0" xfId="0" applyFont="1" applyFill="1" applyAlignment="1">
      <alignment horizontal="center" wrapText="1"/>
    </xf>
    <xf numFmtId="0" fontId="5" fillId="42" borderId="0" xfId="0" applyFont="1" applyFill="1" applyAlignment="1">
      <alignment wrapText="1"/>
    </xf>
    <xf numFmtId="174" fontId="26" fillId="33" borderId="32" xfId="46" applyNumberFormat="1" applyFont="1" applyFill="1" applyBorder="1" applyAlignment="1" applyProtection="1" quotePrefix="1">
      <alignment wrapText="1"/>
      <protection locked="0"/>
    </xf>
    <xf numFmtId="0" fontId="5" fillId="41" borderId="0" xfId="0" applyFont="1" applyFill="1" applyAlignment="1">
      <alignment wrapText="1"/>
    </xf>
    <xf numFmtId="0" fontId="2" fillId="34" borderId="19" xfId="0" applyFont="1" applyFill="1" applyBorder="1" applyAlignment="1" applyProtection="1">
      <alignment wrapText="1"/>
      <protection/>
    </xf>
    <xf numFmtId="174" fontId="26" fillId="33" borderId="32" xfId="46" applyNumberFormat="1" applyFont="1" applyFill="1" applyBorder="1" applyAlignment="1" applyProtection="1">
      <alignment wrapText="1"/>
      <protection locked="0"/>
    </xf>
    <xf numFmtId="174" fontId="5" fillId="0" borderId="0" xfId="0" applyNumberFormat="1" applyFont="1" applyAlignment="1">
      <alignment wrapText="1"/>
    </xf>
    <xf numFmtId="188" fontId="26" fillId="42" borderId="65" xfId="0" applyNumberFormat="1" applyFont="1" applyFill="1" applyBorder="1" applyAlignment="1">
      <alignment wrapText="1"/>
    </xf>
    <xf numFmtId="0" fontId="17" fillId="0" borderId="32" xfId="0" applyFont="1" applyBorder="1" applyAlignment="1">
      <alignment wrapText="1"/>
    </xf>
    <xf numFmtId="174" fontId="17" fillId="0" borderId="32" xfId="46" applyNumberFormat="1" applyFont="1" applyFill="1" applyBorder="1" applyAlignment="1" applyProtection="1">
      <alignment wrapText="1"/>
      <protection locked="0"/>
    </xf>
    <xf numFmtId="188" fontId="26" fillId="42" borderId="65" xfId="46" applyNumberFormat="1" applyFont="1" applyFill="1" applyBorder="1" applyAlignment="1" applyProtection="1">
      <alignment wrapText="1"/>
      <protection/>
    </xf>
    <xf numFmtId="188" fontId="26" fillId="42" borderId="65" xfId="59" applyNumberFormat="1" applyFont="1" applyFill="1" applyBorder="1" applyAlignment="1" applyProtection="1">
      <alignment wrapText="1"/>
      <protection locked="0"/>
    </xf>
    <xf numFmtId="188" fontId="21" fillId="0" borderId="65" xfId="46" applyNumberFormat="1" applyFont="1" applyFill="1" applyBorder="1" applyAlignment="1" applyProtection="1">
      <alignment wrapText="1"/>
      <protection locked="0"/>
    </xf>
    <xf numFmtId="188" fontId="26" fillId="33" borderId="65" xfId="46" applyNumberFormat="1" applyFont="1" applyFill="1" applyBorder="1" applyAlignment="1" applyProtection="1">
      <alignment wrapText="1"/>
      <protection locked="0"/>
    </xf>
    <xf numFmtId="189" fontId="17" fillId="0" borderId="24" xfId="46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wrapText="1"/>
    </xf>
    <xf numFmtId="188" fontId="26" fillId="0" borderId="65" xfId="0" applyNumberFormat="1" applyFont="1" applyFill="1" applyBorder="1" applyAlignment="1">
      <alignment vertical="center" wrapText="1"/>
    </xf>
    <xf numFmtId="188" fontId="2" fillId="0" borderId="65" xfId="46" applyNumberFormat="1" applyFont="1" applyFill="1" applyBorder="1" applyAlignment="1" applyProtection="1">
      <alignment wrapText="1"/>
      <protection locked="0"/>
    </xf>
    <xf numFmtId="189" fontId="2" fillId="34" borderId="24" xfId="46" applyNumberFormat="1" applyFont="1" applyFill="1" applyBorder="1" applyAlignment="1" applyProtection="1">
      <alignment wrapText="1"/>
      <protection locked="0"/>
    </xf>
    <xf numFmtId="177" fontId="2" fillId="34" borderId="32" xfId="48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88" fontId="17" fillId="0" borderId="65" xfId="0" applyNumberFormat="1" applyFont="1" applyFill="1" applyBorder="1" applyAlignment="1">
      <alignment vertical="center" wrapText="1"/>
    </xf>
    <xf numFmtId="188" fontId="5" fillId="0" borderId="0" xfId="46" applyNumberFormat="1" applyFont="1" applyBorder="1" applyAlignment="1">
      <alignment wrapText="1"/>
    </xf>
    <xf numFmtId="188" fontId="26" fillId="34" borderId="65" xfId="46" applyNumberFormat="1" applyFont="1" applyFill="1" applyBorder="1" applyAlignment="1" applyProtection="1">
      <alignment wrapText="1"/>
      <protection locked="0"/>
    </xf>
    <xf numFmtId="188" fontId="27" fillId="0" borderId="65" xfId="48" applyNumberFormat="1" applyFont="1" applyFill="1" applyBorder="1" applyAlignment="1">
      <alignment wrapText="1"/>
    </xf>
    <xf numFmtId="185" fontId="17" fillId="34" borderId="32" xfId="49" applyNumberFormat="1" applyFont="1" applyFill="1" applyBorder="1" applyAlignment="1" applyProtection="1">
      <alignment wrapText="1"/>
      <protection locked="0"/>
    </xf>
    <xf numFmtId="188" fontId="5" fillId="0" borderId="65" xfId="46" applyNumberFormat="1" applyFont="1" applyBorder="1" applyAlignment="1">
      <alignment wrapText="1"/>
    </xf>
    <xf numFmtId="0" fontId="2" fillId="41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177" fontId="17" fillId="33" borderId="32" xfId="48" applyNumberFormat="1" applyFont="1" applyFill="1" applyBorder="1" applyAlignment="1">
      <alignment wrapText="1"/>
    </xf>
    <xf numFmtId="179" fontId="5" fillId="42" borderId="0" xfId="0" applyNumberFormat="1" applyFont="1" applyFill="1" applyAlignment="1">
      <alignment wrapText="1"/>
    </xf>
    <xf numFmtId="0" fontId="5" fillId="0" borderId="0" xfId="0" applyFont="1" applyAlignment="1" quotePrefix="1">
      <alignment wrapText="1"/>
    </xf>
    <xf numFmtId="10" fontId="5" fillId="0" borderId="0" xfId="0" applyNumberFormat="1" applyFont="1" applyAlignment="1">
      <alignment wrapText="1"/>
    </xf>
    <xf numFmtId="188" fontId="26" fillId="41" borderId="65" xfId="46" applyNumberFormat="1" applyFont="1" applyFill="1" applyBorder="1" applyAlignment="1" applyProtection="1">
      <alignment wrapText="1"/>
      <protection/>
    </xf>
    <xf numFmtId="188" fontId="26" fillId="41" borderId="65" xfId="46" applyNumberFormat="1" applyFont="1" applyFill="1" applyBorder="1" applyAlignment="1" applyProtection="1">
      <alignment wrapText="1"/>
      <protection locked="0"/>
    </xf>
    <xf numFmtId="188" fontId="26" fillId="0" borderId="65" xfId="46" applyNumberFormat="1" applyFont="1" applyBorder="1" applyAlignment="1" applyProtection="1">
      <alignment wrapText="1"/>
      <protection locked="0"/>
    </xf>
    <xf numFmtId="188" fontId="26" fillId="49" borderId="65" xfId="46" applyNumberFormat="1" applyFont="1" applyFill="1" applyBorder="1" applyAlignment="1" applyProtection="1">
      <alignment wrapText="1"/>
      <protection locked="0"/>
    </xf>
    <xf numFmtId="0" fontId="5" fillId="37" borderId="0" xfId="0" applyFont="1" applyFill="1" applyAlignment="1">
      <alignment wrapText="1"/>
    </xf>
    <xf numFmtId="0" fontId="5" fillId="37" borderId="0" xfId="0" applyFont="1" applyFill="1" applyAlignment="1" quotePrefix="1">
      <alignment horizontal="right" wrapText="1"/>
    </xf>
    <xf numFmtId="0" fontId="20" fillId="0" borderId="0" xfId="0" applyFont="1" applyAlignment="1">
      <alignment wrapText="1"/>
    </xf>
    <xf numFmtId="2" fontId="2" fillId="41" borderId="0" xfId="0" applyNumberFormat="1" applyFont="1" applyFill="1" applyAlignment="1">
      <alignment wrapText="1"/>
    </xf>
    <xf numFmtId="180" fontId="5" fillId="37" borderId="0" xfId="0" applyNumberFormat="1" applyFont="1" applyFill="1" applyAlignment="1">
      <alignment wrapText="1"/>
    </xf>
    <xf numFmtId="2" fontId="5" fillId="41" borderId="0" xfId="0" applyNumberFormat="1" applyFont="1" applyFill="1" applyAlignment="1">
      <alignment wrapText="1"/>
    </xf>
    <xf numFmtId="180" fontId="5" fillId="33" borderId="0" xfId="0" applyNumberFormat="1" applyFont="1" applyFill="1" applyAlignment="1">
      <alignment wrapText="1"/>
    </xf>
    <xf numFmtId="174" fontId="17" fillId="34" borderId="32" xfId="46" applyNumberFormat="1" applyFont="1" applyFill="1" applyBorder="1" applyAlignment="1" applyProtection="1" quotePrefix="1">
      <alignment wrapText="1"/>
      <protection locked="0"/>
    </xf>
    <xf numFmtId="186" fontId="23" fillId="0" borderId="32" xfId="48" applyNumberFormat="1" applyFont="1" applyBorder="1" applyAlignment="1">
      <alignment wrapText="1"/>
    </xf>
    <xf numFmtId="177" fontId="17" fillId="0" borderId="32" xfId="48" applyNumberFormat="1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177" fontId="2" fillId="41" borderId="18" xfId="48" applyNumberFormat="1" applyFont="1" applyFill="1" applyBorder="1" applyAlignment="1">
      <alignment wrapText="1"/>
    </xf>
    <xf numFmtId="174" fontId="2" fillId="34" borderId="18" xfId="46" applyNumberFormat="1" applyFont="1" applyFill="1" applyBorder="1" applyAlignment="1" applyProtection="1" quotePrefix="1">
      <alignment wrapText="1"/>
      <protection locked="0"/>
    </xf>
    <xf numFmtId="180" fontId="5" fillId="42" borderId="0" xfId="0" applyNumberFormat="1" applyFont="1" applyFill="1" applyAlignment="1">
      <alignment wrapText="1"/>
    </xf>
    <xf numFmtId="189" fontId="19" fillId="0" borderId="24" xfId="0" applyNumberFormat="1" applyFont="1" applyBorder="1" applyAlignment="1">
      <alignment wrapText="1"/>
    </xf>
    <xf numFmtId="189" fontId="10" fillId="0" borderId="24" xfId="55" applyNumberFormat="1" applyFont="1" applyFill="1" applyBorder="1" applyAlignment="1">
      <alignment horizontal="center" wrapText="1"/>
      <protection/>
    </xf>
    <xf numFmtId="189" fontId="5" fillId="0" borderId="24" xfId="0" applyNumberFormat="1" applyFont="1" applyBorder="1" applyAlignment="1">
      <alignment wrapText="1"/>
    </xf>
    <xf numFmtId="174" fontId="17" fillId="0" borderId="32" xfId="46" applyNumberFormat="1" applyFont="1" applyBorder="1" applyAlignment="1" applyProtection="1">
      <alignment wrapText="1"/>
      <protection locked="0"/>
    </xf>
    <xf numFmtId="188" fontId="24" fillId="0" borderId="65" xfId="0" applyNumberFormat="1" applyFont="1" applyFill="1" applyBorder="1" applyAlignment="1">
      <alignment horizontal="right" vertical="center" wrapText="1"/>
    </xf>
    <xf numFmtId="188" fontId="17" fillId="0" borderId="65" xfId="48" applyNumberFormat="1" applyFont="1" applyFill="1" applyBorder="1" applyAlignment="1">
      <alignment vertical="center" wrapText="1"/>
    </xf>
    <xf numFmtId="188" fontId="26" fillId="0" borderId="68" xfId="46" applyNumberFormat="1" applyFont="1" applyFill="1" applyBorder="1" applyAlignment="1" applyProtection="1">
      <alignment wrapText="1"/>
      <protection locked="0"/>
    </xf>
    <xf numFmtId="189" fontId="17" fillId="34" borderId="42" xfId="46" applyNumberFormat="1" applyFont="1" applyFill="1" applyBorder="1" applyAlignment="1" applyProtection="1">
      <alignment wrapText="1"/>
      <protection locked="0"/>
    </xf>
    <xf numFmtId="174" fontId="17" fillId="34" borderId="69" xfId="46" applyNumberFormat="1" applyFont="1" applyFill="1" applyBorder="1" applyAlignment="1" applyProtection="1">
      <alignment wrapText="1"/>
      <protection locked="0"/>
    </xf>
    <xf numFmtId="172" fontId="5" fillId="0" borderId="0" xfId="0" applyNumberFormat="1" applyFont="1" applyFill="1" applyBorder="1" applyAlignment="1">
      <alignment wrapText="1"/>
    </xf>
    <xf numFmtId="189" fontId="5" fillId="0" borderId="0" xfId="46" applyNumberFormat="1" applyFont="1" applyAlignment="1">
      <alignment wrapText="1"/>
    </xf>
    <xf numFmtId="188" fontId="6" fillId="0" borderId="0" xfId="46" applyNumberFormat="1" applyFont="1" applyAlignment="1">
      <alignment wrapText="1"/>
    </xf>
    <xf numFmtId="189" fontId="6" fillId="0" borderId="0" xfId="46" applyNumberFormat="1" applyFont="1" applyAlignment="1">
      <alignment wrapText="1"/>
    </xf>
    <xf numFmtId="174" fontId="6" fillId="0" borderId="0" xfId="46" applyNumberFormat="1" applyFont="1" applyAlignment="1">
      <alignment wrapText="1"/>
    </xf>
    <xf numFmtId="0" fontId="68" fillId="0" borderId="0" xfId="0" applyFont="1" applyAlignment="1">
      <alignment/>
    </xf>
    <xf numFmtId="0" fontId="69" fillId="0" borderId="0" xfId="56" applyFont="1" applyFill="1" applyBorder="1" applyAlignment="1">
      <alignment horizontal="center"/>
      <protection/>
    </xf>
    <xf numFmtId="0" fontId="68" fillId="0" borderId="0" xfId="0" applyFont="1" applyFill="1" applyBorder="1" applyAlignment="1">
      <alignment/>
    </xf>
    <xf numFmtId="0" fontId="69" fillId="0" borderId="0" xfId="56" applyFont="1" applyFill="1" applyBorder="1" applyAlignment="1">
      <alignment horizontal="left"/>
      <protection/>
    </xf>
    <xf numFmtId="49" fontId="68" fillId="0" borderId="0" xfId="0" applyNumberFormat="1" applyFont="1" applyAlignment="1">
      <alignment/>
    </xf>
    <xf numFmtId="0" fontId="70" fillId="0" borderId="0" xfId="0" applyFont="1" applyAlignment="1">
      <alignment/>
    </xf>
    <xf numFmtId="0" fontId="32" fillId="0" borderId="0" xfId="0" applyFont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50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30" fillId="51" borderId="0" xfId="0" applyFont="1" applyFill="1" applyAlignment="1" applyProtection="1">
      <alignment horizontal="center" vertical="center" wrapText="1"/>
      <protection/>
    </xf>
    <xf numFmtId="0" fontId="10" fillId="36" borderId="61" xfId="52" applyFont="1" applyFill="1" applyBorder="1" applyAlignment="1">
      <alignment horizontal="center" vertical="center" wrapText="1"/>
      <protection/>
    </xf>
    <xf numFmtId="0" fontId="10" fillId="36" borderId="73" xfId="52" applyFont="1" applyFill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10" fillId="36" borderId="74" xfId="52" applyFont="1" applyFill="1" applyBorder="1" applyAlignment="1">
      <alignment horizontal="center" vertical="center" wrapText="1"/>
      <protection/>
    </xf>
    <xf numFmtId="0" fontId="10" fillId="36" borderId="75" xfId="52" applyFont="1" applyFill="1" applyBorder="1" applyAlignment="1">
      <alignment horizontal="center" vertical="center" wrapText="1"/>
      <protection/>
    </xf>
    <xf numFmtId="0" fontId="10" fillId="36" borderId="76" xfId="52" applyFont="1" applyFill="1" applyBorder="1" applyAlignment="1">
      <alignment horizontal="center" vertical="center" wrapText="1"/>
      <protection/>
    </xf>
    <xf numFmtId="0" fontId="10" fillId="36" borderId="77" xfId="52" applyFont="1" applyFill="1" applyBorder="1" applyAlignment="1">
      <alignment horizontal="center" vertical="center" wrapText="1"/>
      <protection/>
    </xf>
    <xf numFmtId="0" fontId="10" fillId="36" borderId="78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/>
      <protection/>
    </xf>
    <xf numFmtId="0" fontId="3" fillId="37" borderId="62" xfId="52" applyFont="1" applyFill="1" applyBorder="1" applyAlignment="1">
      <alignment horizontal="center" vertical="center" wrapText="1"/>
      <protection/>
    </xf>
    <xf numFmtId="0" fontId="3" fillId="37" borderId="79" xfId="52" applyFont="1" applyFill="1" applyBorder="1" applyAlignment="1">
      <alignment horizontal="center" vertical="center" wrapText="1"/>
      <protection/>
    </xf>
    <xf numFmtId="0" fontId="10" fillId="37" borderId="80" xfId="52" applyFont="1" applyFill="1" applyBorder="1" applyAlignment="1">
      <alignment horizontal="center"/>
      <protection/>
    </xf>
    <xf numFmtId="0" fontId="10" fillId="37" borderId="81" xfId="52" applyFont="1" applyFill="1" applyBorder="1" applyAlignment="1">
      <alignment horizontal="center"/>
      <protection/>
    </xf>
    <xf numFmtId="0" fontId="3" fillId="37" borderId="80" xfId="52" applyFont="1" applyFill="1" applyBorder="1" applyAlignment="1">
      <alignment horizontal="center"/>
      <protection/>
    </xf>
    <xf numFmtId="0" fontId="3" fillId="37" borderId="82" xfId="52" applyFont="1" applyFill="1" applyBorder="1" applyAlignment="1">
      <alignment horizontal="center"/>
      <protection/>
    </xf>
    <xf numFmtId="0" fontId="3" fillId="37" borderId="81" xfId="52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x" xfId="51"/>
    <cellStyle name="Normal_Costo equipos" xfId="52"/>
    <cellStyle name="Normal_Hoja1" xfId="53"/>
    <cellStyle name="Normal_IN-01-10" xfId="54"/>
    <cellStyle name="Normal_IN-05-04" xfId="55"/>
    <cellStyle name="Normal_IN-09-06" xfId="56"/>
    <cellStyle name="Normal_IN-11-0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cios\A&#209;O%202010\ParaBorrar\An_10_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ego\AppData\Local\Microsoft\Windows\Temporary%20Internet%20Files\Content.IE5\DJ1XGCHP\PRECIOS%202012\008.AGOSTO\2012-09-27%20Precios%20Testigos%20AGOSTO%202012%20Sin%20Categoriz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4-05-02%20Precios%20Testigos%20ABRIL%202014%20Sin%20Categoriz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24">
        <row r="7">
          <cell r="Q7">
            <v>70.227916878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 OCT 2011"/>
    </sheetNames>
    <sheetDataSet>
      <sheetData sheetId="0">
        <row r="2">
          <cell r="A2" t="str">
            <v>ac.002</v>
          </cell>
          <cell r="D2">
            <v>343.83</v>
          </cell>
        </row>
        <row r="3">
          <cell r="A3" t="str">
            <v>ac.009</v>
          </cell>
          <cell r="D3">
            <v>5.8967</v>
          </cell>
        </row>
        <row r="4">
          <cell r="A4" t="str">
            <v>ac.010</v>
          </cell>
          <cell r="D4">
            <v>5.6233</v>
          </cell>
        </row>
        <row r="5">
          <cell r="A5" t="str">
            <v>ac.011</v>
          </cell>
          <cell r="D5">
            <v>5.7033</v>
          </cell>
        </row>
        <row r="6">
          <cell r="A6" t="str">
            <v>ac.012</v>
          </cell>
          <cell r="D6">
            <v>6.0067</v>
          </cell>
        </row>
        <row r="7">
          <cell r="A7" t="str">
            <v>ac.013</v>
          </cell>
          <cell r="D7">
            <v>5.9267</v>
          </cell>
        </row>
        <row r="8">
          <cell r="A8" t="str">
            <v>ac.014</v>
          </cell>
          <cell r="D8">
            <v>5.8633</v>
          </cell>
        </row>
        <row r="9">
          <cell r="A9" t="str">
            <v>ac.015</v>
          </cell>
          <cell r="D9">
            <v>5.5067</v>
          </cell>
        </row>
        <row r="10">
          <cell r="A10" t="str">
            <v>ac.016</v>
          </cell>
          <cell r="D10">
            <v>5505.0567</v>
          </cell>
        </row>
        <row r="11">
          <cell r="A11" t="str">
            <v>ac.029</v>
          </cell>
          <cell r="D11">
            <v>20.5767</v>
          </cell>
        </row>
        <row r="12">
          <cell r="A12" t="str">
            <v>ac.030</v>
          </cell>
          <cell r="D12">
            <v>7.48</v>
          </cell>
        </row>
        <row r="13">
          <cell r="A13" t="str">
            <v>ac.034</v>
          </cell>
          <cell r="D13">
            <v>10.4367</v>
          </cell>
        </row>
        <row r="14">
          <cell r="A14" t="str">
            <v>ac.040</v>
          </cell>
          <cell r="D14">
            <v>7.34</v>
          </cell>
        </row>
        <row r="15">
          <cell r="A15" t="str">
            <v>ac.050</v>
          </cell>
          <cell r="D15">
            <v>7.1533</v>
          </cell>
        </row>
        <row r="16">
          <cell r="A16" t="str">
            <v>ac.051</v>
          </cell>
          <cell r="D16">
            <v>6.9167</v>
          </cell>
        </row>
        <row r="17">
          <cell r="A17" t="str">
            <v>ac.052</v>
          </cell>
          <cell r="D17">
            <v>8.1</v>
          </cell>
        </row>
        <row r="18">
          <cell r="A18" t="str">
            <v>ac.053</v>
          </cell>
          <cell r="D18">
            <v>18.495</v>
          </cell>
        </row>
        <row r="19">
          <cell r="A19" t="str">
            <v>ac.060</v>
          </cell>
          <cell r="D19">
            <v>17.875</v>
          </cell>
        </row>
        <row r="20">
          <cell r="A20" t="str">
            <v>ac.061</v>
          </cell>
          <cell r="D20">
            <v>6.7767</v>
          </cell>
        </row>
        <row r="21">
          <cell r="A21" t="str">
            <v>ac.062</v>
          </cell>
          <cell r="D21">
            <v>7.28</v>
          </cell>
        </row>
        <row r="22">
          <cell r="A22" t="str">
            <v>ac.070</v>
          </cell>
          <cell r="D22">
            <v>0.47</v>
          </cell>
        </row>
        <row r="23">
          <cell r="A23" t="str">
            <v>ac.071</v>
          </cell>
          <cell r="D23">
            <v>0.51</v>
          </cell>
        </row>
        <row r="24">
          <cell r="A24" t="str">
            <v>ac.072</v>
          </cell>
          <cell r="D24">
            <v>11.0133</v>
          </cell>
        </row>
        <row r="25">
          <cell r="A25" t="str">
            <v>ac.073</v>
          </cell>
          <cell r="D25">
            <v>31.58</v>
          </cell>
        </row>
        <row r="26">
          <cell r="A26" t="str">
            <v>ac.080</v>
          </cell>
          <cell r="D26">
            <v>2.5933</v>
          </cell>
        </row>
        <row r="27">
          <cell r="A27" t="str">
            <v>ac.081</v>
          </cell>
          <cell r="D27">
            <v>2.9967</v>
          </cell>
        </row>
        <row r="28">
          <cell r="A28" t="str">
            <v>ac.089</v>
          </cell>
          <cell r="D28">
            <v>0.425</v>
          </cell>
        </row>
        <row r="29">
          <cell r="A29" t="str">
            <v>ac.090</v>
          </cell>
          <cell r="D29">
            <v>3.315</v>
          </cell>
        </row>
        <row r="30">
          <cell r="A30" t="str">
            <v>ac.091</v>
          </cell>
          <cell r="D30">
            <v>12.665</v>
          </cell>
        </row>
        <row r="31">
          <cell r="A31" t="str">
            <v>ac.092</v>
          </cell>
          <cell r="D31">
            <v>0.47</v>
          </cell>
        </row>
        <row r="32">
          <cell r="A32" t="str">
            <v>ac.093</v>
          </cell>
          <cell r="D32">
            <v>8665.05</v>
          </cell>
        </row>
        <row r="33">
          <cell r="A33" t="str">
            <v>ac.093b</v>
          </cell>
          <cell r="D33">
            <v>19356</v>
          </cell>
        </row>
        <row r="34">
          <cell r="A34" t="str">
            <v>ac.100</v>
          </cell>
          <cell r="D34">
            <v>6.12</v>
          </cell>
        </row>
        <row r="35">
          <cell r="A35" t="str">
            <v>ac.101</v>
          </cell>
          <cell r="D35">
            <v>5.77</v>
          </cell>
        </row>
        <row r="36">
          <cell r="A36" t="str">
            <v>ac.102</v>
          </cell>
          <cell r="D36">
            <v>16.17</v>
          </cell>
        </row>
        <row r="37">
          <cell r="A37" t="str">
            <v>ac.103</v>
          </cell>
          <cell r="D37">
            <v>27.56</v>
          </cell>
        </row>
        <row r="38">
          <cell r="A38" t="str">
            <v>ac.104</v>
          </cell>
          <cell r="D38">
            <v>64.77</v>
          </cell>
        </row>
        <row r="39">
          <cell r="A39" t="str">
            <v>ac.105</v>
          </cell>
          <cell r="D39">
            <v>110.61</v>
          </cell>
        </row>
        <row r="40">
          <cell r="A40" t="str">
            <v>ac.106</v>
          </cell>
          <cell r="D40">
            <v>21.0267</v>
          </cell>
        </row>
        <row r="41">
          <cell r="A41" t="str">
            <v>ac.107</v>
          </cell>
          <cell r="D41">
            <v>30.7333</v>
          </cell>
        </row>
        <row r="42">
          <cell r="A42" t="str">
            <v>ac.108</v>
          </cell>
          <cell r="D42">
            <v>5.965</v>
          </cell>
        </row>
        <row r="43">
          <cell r="A43" t="str">
            <v>ac.109</v>
          </cell>
          <cell r="D43">
            <v>9.87</v>
          </cell>
        </row>
        <row r="44">
          <cell r="A44" t="str">
            <v>ac.110</v>
          </cell>
          <cell r="D44">
            <v>3.585</v>
          </cell>
        </row>
        <row r="45">
          <cell r="A45" t="str">
            <v>ac.111</v>
          </cell>
          <cell r="D45">
            <v>0.6</v>
          </cell>
        </row>
        <row r="46">
          <cell r="A46" t="str">
            <v>ac.116</v>
          </cell>
          <cell r="D46">
            <v>8.9733</v>
          </cell>
        </row>
        <row r="47">
          <cell r="A47" t="str">
            <v>ac.117</v>
          </cell>
          <cell r="D47">
            <v>11.83</v>
          </cell>
        </row>
        <row r="48">
          <cell r="A48" t="str">
            <v>ac.118</v>
          </cell>
          <cell r="D48">
            <v>19.18</v>
          </cell>
        </row>
        <row r="49">
          <cell r="A49" t="str">
            <v>ac.119</v>
          </cell>
          <cell r="D49">
            <v>6.35</v>
          </cell>
        </row>
        <row r="50">
          <cell r="A50" t="str">
            <v>ac.120</v>
          </cell>
          <cell r="D50">
            <v>21.6</v>
          </cell>
        </row>
        <row r="51">
          <cell r="A51" t="str">
            <v>ac.121</v>
          </cell>
          <cell r="D51">
            <v>16.06</v>
          </cell>
        </row>
        <row r="52">
          <cell r="A52" t="str">
            <v>ac.122</v>
          </cell>
          <cell r="D52">
            <v>3.4533</v>
          </cell>
        </row>
        <row r="53">
          <cell r="A53" t="str">
            <v>ac.123</v>
          </cell>
          <cell r="D53">
            <v>5.2233</v>
          </cell>
        </row>
        <row r="54">
          <cell r="A54" t="str">
            <v>ac.124</v>
          </cell>
          <cell r="D54">
            <v>4.1367</v>
          </cell>
        </row>
        <row r="55">
          <cell r="A55" t="str">
            <v>ac.125</v>
          </cell>
          <cell r="D55">
            <v>8.62</v>
          </cell>
        </row>
        <row r="56">
          <cell r="A56" t="str">
            <v>ac.200</v>
          </cell>
          <cell r="D56">
            <v>6.28</v>
          </cell>
        </row>
        <row r="57">
          <cell r="A57" t="str">
            <v>ac.201</v>
          </cell>
          <cell r="D57">
            <v>4.21</v>
          </cell>
        </row>
        <row r="58">
          <cell r="A58" t="str">
            <v>ac.500</v>
          </cell>
          <cell r="D58">
            <v>5.9367</v>
          </cell>
        </row>
        <row r="59">
          <cell r="A59" t="str">
            <v>ad.001</v>
          </cell>
          <cell r="D59">
            <v>6.545</v>
          </cell>
        </row>
        <row r="60">
          <cell r="A60" t="str">
            <v>ad.002</v>
          </cell>
          <cell r="D60">
            <v>4.29</v>
          </cell>
        </row>
        <row r="61">
          <cell r="A61" t="str">
            <v>ai.002</v>
          </cell>
          <cell r="D61">
            <v>19.4</v>
          </cell>
        </row>
        <row r="62">
          <cell r="A62" t="str">
            <v>ai.004</v>
          </cell>
          <cell r="D62">
            <v>4.4867</v>
          </cell>
        </row>
        <row r="63">
          <cell r="A63" t="str">
            <v>ai.005</v>
          </cell>
          <cell r="D63">
            <v>15.73</v>
          </cell>
        </row>
        <row r="64">
          <cell r="A64" t="str">
            <v>ai.006</v>
          </cell>
          <cell r="D64">
            <v>16.835</v>
          </cell>
        </row>
        <row r="65">
          <cell r="A65" t="str">
            <v>ai.007</v>
          </cell>
          <cell r="D65">
            <v>4.58</v>
          </cell>
        </row>
        <row r="66">
          <cell r="A66" t="str">
            <v>ai.009</v>
          </cell>
          <cell r="D66">
            <v>2.15</v>
          </cell>
        </row>
        <row r="67">
          <cell r="A67" t="str">
            <v>ai.010</v>
          </cell>
          <cell r="D67">
            <v>3.36</v>
          </cell>
        </row>
        <row r="68">
          <cell r="A68" t="str">
            <v>ai.011</v>
          </cell>
          <cell r="D68">
            <v>18.62</v>
          </cell>
        </row>
        <row r="69">
          <cell r="A69" t="str">
            <v>ai.012</v>
          </cell>
          <cell r="D69">
            <v>2.97</v>
          </cell>
        </row>
        <row r="70">
          <cell r="A70" t="str">
            <v>ai.014</v>
          </cell>
          <cell r="D70">
            <v>7.85</v>
          </cell>
        </row>
        <row r="71">
          <cell r="A71" t="str">
            <v>ai.016</v>
          </cell>
          <cell r="D71">
            <v>22.89</v>
          </cell>
        </row>
        <row r="72">
          <cell r="A72" t="str">
            <v>ai.017</v>
          </cell>
          <cell r="D72">
            <v>4.3</v>
          </cell>
        </row>
        <row r="73">
          <cell r="A73" t="str">
            <v>ai.018</v>
          </cell>
          <cell r="D73">
            <v>3.97</v>
          </cell>
        </row>
        <row r="74">
          <cell r="A74" t="str">
            <v>ai.055</v>
          </cell>
          <cell r="D74">
            <v>15.95</v>
          </cell>
        </row>
        <row r="75">
          <cell r="A75" t="str">
            <v>ai.060</v>
          </cell>
          <cell r="D75">
            <v>88.84</v>
          </cell>
        </row>
        <row r="76">
          <cell r="A76" t="str">
            <v>ar.001</v>
          </cell>
          <cell r="D76">
            <v>99.5</v>
          </cell>
        </row>
        <row r="77">
          <cell r="A77" t="str">
            <v>ar.002</v>
          </cell>
          <cell r="D77">
            <v>90</v>
          </cell>
        </row>
        <row r="78">
          <cell r="A78" t="str">
            <v>ar.003</v>
          </cell>
          <cell r="D78">
            <v>89.4</v>
          </cell>
        </row>
        <row r="79">
          <cell r="A79" t="str">
            <v>ar.004</v>
          </cell>
          <cell r="D79">
            <v>95.0033</v>
          </cell>
        </row>
        <row r="80">
          <cell r="A80" t="str">
            <v>ar.005</v>
          </cell>
          <cell r="D80">
            <v>81.22</v>
          </cell>
        </row>
        <row r="81">
          <cell r="A81" t="str">
            <v>ar.006</v>
          </cell>
          <cell r="D81">
            <v>102.1467</v>
          </cell>
        </row>
        <row r="82">
          <cell r="A82" t="str">
            <v>ar.007</v>
          </cell>
          <cell r="D82">
            <v>75.07</v>
          </cell>
        </row>
        <row r="83">
          <cell r="A83" t="str">
            <v>ar.008</v>
          </cell>
          <cell r="D83">
            <v>78.4</v>
          </cell>
        </row>
        <row r="84">
          <cell r="A84" t="str">
            <v>ar.009</v>
          </cell>
          <cell r="D84">
            <v>71.63</v>
          </cell>
        </row>
        <row r="85">
          <cell r="A85" t="str">
            <v>ar.010</v>
          </cell>
          <cell r="D85">
            <v>90.39</v>
          </cell>
        </row>
        <row r="86">
          <cell r="A86" t="str">
            <v>ar.012</v>
          </cell>
          <cell r="D86">
            <v>92</v>
          </cell>
        </row>
        <row r="87">
          <cell r="A87" t="str">
            <v>ar.013</v>
          </cell>
          <cell r="D87">
            <v>99.5</v>
          </cell>
        </row>
        <row r="88">
          <cell r="A88" t="str">
            <v>az.001</v>
          </cell>
          <cell r="D88">
            <v>30.88</v>
          </cell>
        </row>
        <row r="89">
          <cell r="A89" t="str">
            <v>bl.002</v>
          </cell>
          <cell r="D89">
            <v>7.02</v>
          </cell>
        </row>
        <row r="90">
          <cell r="A90" t="str">
            <v>bl.003</v>
          </cell>
          <cell r="D90">
            <v>21.0118</v>
          </cell>
        </row>
        <row r="91">
          <cell r="A91" t="str">
            <v>bl.004</v>
          </cell>
          <cell r="D91">
            <v>4.96</v>
          </cell>
        </row>
        <row r="92">
          <cell r="A92" t="str">
            <v>bl.005</v>
          </cell>
          <cell r="D92">
            <v>18.16</v>
          </cell>
        </row>
        <row r="93">
          <cell r="A93" t="str">
            <v>bl.006</v>
          </cell>
          <cell r="D93">
            <v>21.085</v>
          </cell>
        </row>
        <row r="94">
          <cell r="A94" t="str">
            <v>bz.001</v>
          </cell>
          <cell r="D94">
            <v>130</v>
          </cell>
        </row>
        <row r="95">
          <cell r="A95" t="str">
            <v>bz.002</v>
          </cell>
          <cell r="D95">
            <v>192</v>
          </cell>
        </row>
        <row r="96">
          <cell r="A96" t="str">
            <v>ca.001</v>
          </cell>
          <cell r="D96">
            <v>1818.185</v>
          </cell>
        </row>
        <row r="97">
          <cell r="A97" t="str">
            <v>ca.003</v>
          </cell>
          <cell r="D97">
            <v>58.15</v>
          </cell>
        </row>
        <row r="98">
          <cell r="A98" t="str">
            <v>ca.008</v>
          </cell>
          <cell r="D98">
            <v>367.58</v>
          </cell>
        </row>
        <row r="99">
          <cell r="A99" t="str">
            <v>ca.013</v>
          </cell>
          <cell r="D99">
            <v>1650.61</v>
          </cell>
        </row>
        <row r="100">
          <cell r="A100" t="str">
            <v>ca.013b</v>
          </cell>
          <cell r="D100">
            <v>566.82</v>
          </cell>
        </row>
        <row r="101">
          <cell r="A101" t="str">
            <v>ca.020</v>
          </cell>
          <cell r="D101">
            <v>1481.01</v>
          </cell>
        </row>
        <row r="102">
          <cell r="A102" t="str">
            <v>ca.030</v>
          </cell>
          <cell r="D102">
            <v>1655.51</v>
          </cell>
        </row>
        <row r="103">
          <cell r="A103" t="str">
            <v>ca.102</v>
          </cell>
          <cell r="D103">
            <v>1383</v>
          </cell>
        </row>
        <row r="104">
          <cell r="A104" t="str">
            <v>ca.103</v>
          </cell>
          <cell r="D104">
            <v>1251</v>
          </cell>
        </row>
        <row r="105">
          <cell r="A105" t="str">
            <v>ca.104</v>
          </cell>
          <cell r="D105">
            <v>1469</v>
          </cell>
        </row>
        <row r="106">
          <cell r="A106" t="str">
            <v>ca.107</v>
          </cell>
          <cell r="D106">
            <v>266</v>
          </cell>
        </row>
        <row r="107">
          <cell r="A107" t="str">
            <v>ca.108</v>
          </cell>
          <cell r="D107">
            <v>294</v>
          </cell>
        </row>
        <row r="108">
          <cell r="A108" t="str">
            <v>ca.109</v>
          </cell>
          <cell r="D108">
            <v>1023</v>
          </cell>
        </row>
        <row r="109">
          <cell r="A109" t="str">
            <v>ca.110</v>
          </cell>
          <cell r="D109">
            <v>178</v>
          </cell>
        </row>
        <row r="110">
          <cell r="A110" t="str">
            <v>ca.111</v>
          </cell>
          <cell r="D110">
            <v>176</v>
          </cell>
        </row>
        <row r="111">
          <cell r="A111" t="str">
            <v>ca.112</v>
          </cell>
          <cell r="D111">
            <v>173</v>
          </cell>
        </row>
        <row r="112">
          <cell r="A112" t="str">
            <v>ca.113</v>
          </cell>
          <cell r="D112">
            <v>771</v>
          </cell>
        </row>
        <row r="113">
          <cell r="A113" t="str">
            <v>ca.114</v>
          </cell>
          <cell r="D113">
            <v>1613.72</v>
          </cell>
        </row>
        <row r="114">
          <cell r="A114" t="str">
            <v>ch.002</v>
          </cell>
          <cell r="D114">
            <v>116.53</v>
          </cell>
        </row>
        <row r="115">
          <cell r="A115" t="str">
            <v>ch.004</v>
          </cell>
          <cell r="D115">
            <v>6.88</v>
          </cell>
        </row>
        <row r="116">
          <cell r="A116" t="str">
            <v>ch.006</v>
          </cell>
          <cell r="D116">
            <v>109.62</v>
          </cell>
        </row>
        <row r="117">
          <cell r="A117" t="str">
            <v>ch.010</v>
          </cell>
          <cell r="D117">
            <v>7.0267</v>
          </cell>
        </row>
        <row r="118">
          <cell r="A118" t="str">
            <v>ch.011</v>
          </cell>
          <cell r="D118">
            <v>23.24</v>
          </cell>
        </row>
        <row r="119">
          <cell r="A119" t="str">
            <v>ch.012</v>
          </cell>
          <cell r="D119">
            <v>143.5367</v>
          </cell>
        </row>
        <row r="120">
          <cell r="A120" t="str">
            <v>ch.013</v>
          </cell>
          <cell r="D120">
            <v>63.12</v>
          </cell>
        </row>
        <row r="121">
          <cell r="A121" t="str">
            <v>ch.020</v>
          </cell>
          <cell r="D121">
            <v>9.75</v>
          </cell>
        </row>
        <row r="122">
          <cell r="A122" t="str">
            <v>ch.021</v>
          </cell>
          <cell r="D122">
            <v>13.39</v>
          </cell>
        </row>
        <row r="123">
          <cell r="A123" t="str">
            <v>ch.030</v>
          </cell>
          <cell r="D123">
            <v>95.415</v>
          </cell>
        </row>
        <row r="124">
          <cell r="A124" t="str">
            <v>ch.031</v>
          </cell>
          <cell r="D124">
            <v>88.18</v>
          </cell>
        </row>
        <row r="125">
          <cell r="A125" t="str">
            <v>ch.032</v>
          </cell>
          <cell r="D125">
            <v>10.99</v>
          </cell>
        </row>
        <row r="126">
          <cell r="A126" t="str">
            <v>ch.033</v>
          </cell>
          <cell r="D126">
            <v>49.8</v>
          </cell>
        </row>
        <row r="127">
          <cell r="A127" t="str">
            <v>ch.035</v>
          </cell>
          <cell r="D127">
            <v>219.83</v>
          </cell>
        </row>
        <row r="128">
          <cell r="A128" t="str">
            <v>ch.036</v>
          </cell>
          <cell r="D128">
            <v>80.58</v>
          </cell>
        </row>
        <row r="129">
          <cell r="A129" t="str">
            <v>ch.037</v>
          </cell>
          <cell r="D129">
            <v>246.69</v>
          </cell>
        </row>
        <row r="130">
          <cell r="A130" t="str">
            <v>ch.038</v>
          </cell>
          <cell r="D130">
            <v>150.925</v>
          </cell>
        </row>
        <row r="131">
          <cell r="A131" t="str">
            <v>ch.039</v>
          </cell>
          <cell r="D131">
            <v>142.98</v>
          </cell>
        </row>
        <row r="132">
          <cell r="A132" t="str">
            <v>ch.040</v>
          </cell>
          <cell r="D132">
            <v>18.37</v>
          </cell>
        </row>
        <row r="133">
          <cell r="A133" t="str">
            <v>el.009</v>
          </cell>
          <cell r="D133">
            <v>1.6671</v>
          </cell>
        </row>
        <row r="134">
          <cell r="A134" t="str">
            <v>el.010</v>
          </cell>
          <cell r="D134">
            <v>421.49</v>
          </cell>
        </row>
        <row r="135">
          <cell r="A135" t="str">
            <v>el.011</v>
          </cell>
          <cell r="D135">
            <v>512.4</v>
          </cell>
        </row>
        <row r="136">
          <cell r="A136" t="str">
            <v>el.020</v>
          </cell>
          <cell r="D136">
            <v>48.9233</v>
          </cell>
        </row>
        <row r="137">
          <cell r="A137" t="str">
            <v>el.021</v>
          </cell>
          <cell r="D137">
            <v>87.675</v>
          </cell>
        </row>
        <row r="138">
          <cell r="A138" t="str">
            <v>el.022</v>
          </cell>
          <cell r="D138">
            <v>4.3066</v>
          </cell>
        </row>
        <row r="139">
          <cell r="A139" t="str">
            <v>el.023</v>
          </cell>
          <cell r="D139">
            <v>2.4633</v>
          </cell>
        </row>
        <row r="140">
          <cell r="A140" t="str">
            <v>el.024</v>
          </cell>
          <cell r="D140">
            <v>10.47</v>
          </cell>
        </row>
        <row r="141">
          <cell r="A141" t="str">
            <v>el.025</v>
          </cell>
          <cell r="D141">
            <v>21.46</v>
          </cell>
        </row>
        <row r="142">
          <cell r="A142" t="str">
            <v>el.026</v>
          </cell>
          <cell r="D142">
            <v>6.3111</v>
          </cell>
        </row>
        <row r="143">
          <cell r="A143" t="str">
            <v>el.027</v>
          </cell>
          <cell r="D143">
            <v>1.49</v>
          </cell>
        </row>
        <row r="144">
          <cell r="A144" t="str">
            <v>el.028</v>
          </cell>
          <cell r="D144">
            <v>1.9</v>
          </cell>
        </row>
        <row r="145">
          <cell r="A145" t="str">
            <v>el.029</v>
          </cell>
          <cell r="D145">
            <v>3.92</v>
          </cell>
        </row>
        <row r="146">
          <cell r="A146" t="str">
            <v>el.057</v>
          </cell>
          <cell r="D146">
            <v>2.62</v>
          </cell>
        </row>
        <row r="147">
          <cell r="A147" t="str">
            <v>el.058</v>
          </cell>
          <cell r="D147">
            <v>1.2833</v>
          </cell>
        </row>
        <row r="148">
          <cell r="A148" t="str">
            <v>el.059</v>
          </cell>
          <cell r="D148">
            <v>4.26</v>
          </cell>
        </row>
        <row r="149">
          <cell r="A149" t="str">
            <v>el.060</v>
          </cell>
          <cell r="D149">
            <v>2.5</v>
          </cell>
        </row>
        <row r="150">
          <cell r="A150" t="str">
            <v>el.061</v>
          </cell>
          <cell r="D150">
            <v>19.95</v>
          </cell>
        </row>
        <row r="151">
          <cell r="A151" t="str">
            <v>el.062</v>
          </cell>
          <cell r="D151">
            <v>26.21</v>
          </cell>
        </row>
        <row r="152">
          <cell r="A152" t="str">
            <v>el.071</v>
          </cell>
          <cell r="D152">
            <v>17.07</v>
          </cell>
        </row>
        <row r="153">
          <cell r="A153" t="str">
            <v>el.072</v>
          </cell>
          <cell r="D153">
            <v>20.8867</v>
          </cell>
        </row>
        <row r="154">
          <cell r="A154" t="str">
            <v>el.073</v>
          </cell>
          <cell r="D154">
            <v>24.795</v>
          </cell>
        </row>
        <row r="155">
          <cell r="A155" t="str">
            <v>el.075</v>
          </cell>
          <cell r="D155">
            <v>2.95</v>
          </cell>
        </row>
        <row r="156">
          <cell r="A156" t="str">
            <v>el.076</v>
          </cell>
          <cell r="D156">
            <v>2.63</v>
          </cell>
        </row>
        <row r="157">
          <cell r="A157" t="str">
            <v>el.080</v>
          </cell>
          <cell r="D157">
            <v>1.09</v>
          </cell>
        </row>
        <row r="158">
          <cell r="A158" t="str">
            <v>el.100</v>
          </cell>
          <cell r="D158">
            <v>17.3033</v>
          </cell>
        </row>
        <row r="159">
          <cell r="A159" t="str">
            <v>el.101</v>
          </cell>
          <cell r="D159">
            <v>32.67</v>
          </cell>
        </row>
        <row r="160">
          <cell r="A160" t="str">
            <v>el.102</v>
          </cell>
          <cell r="D160">
            <v>140.765</v>
          </cell>
        </row>
        <row r="161">
          <cell r="A161" t="str">
            <v>el.103</v>
          </cell>
          <cell r="D161">
            <v>48.14</v>
          </cell>
        </row>
        <row r="162">
          <cell r="A162" t="str">
            <v>el.104</v>
          </cell>
          <cell r="D162">
            <v>152.255</v>
          </cell>
        </row>
        <row r="163">
          <cell r="A163" t="str">
            <v>el.105</v>
          </cell>
          <cell r="D163">
            <v>260.38</v>
          </cell>
        </row>
        <row r="164">
          <cell r="A164" t="str">
            <v>el.107</v>
          </cell>
          <cell r="D164">
            <v>16.61</v>
          </cell>
        </row>
        <row r="165">
          <cell r="A165" t="str">
            <v>el.108</v>
          </cell>
          <cell r="D165">
            <v>14.925</v>
          </cell>
        </row>
        <row r="166">
          <cell r="A166" t="str">
            <v>el.109</v>
          </cell>
          <cell r="D166">
            <v>19.505</v>
          </cell>
        </row>
        <row r="167">
          <cell r="A167" t="str">
            <v>el.110</v>
          </cell>
          <cell r="D167">
            <v>213.825</v>
          </cell>
        </row>
        <row r="168">
          <cell r="A168" t="str">
            <v>el.111</v>
          </cell>
          <cell r="D168">
            <v>275.275</v>
          </cell>
        </row>
        <row r="169">
          <cell r="A169" t="str">
            <v>el.112</v>
          </cell>
          <cell r="D169">
            <v>43.295</v>
          </cell>
        </row>
        <row r="170">
          <cell r="A170" t="str">
            <v>el.113</v>
          </cell>
          <cell r="D170">
            <v>95.3</v>
          </cell>
        </row>
        <row r="171">
          <cell r="A171" t="str">
            <v>el.114</v>
          </cell>
          <cell r="D171">
            <v>84.86</v>
          </cell>
        </row>
        <row r="172">
          <cell r="A172" t="str">
            <v>el.115</v>
          </cell>
          <cell r="D172">
            <v>16.025</v>
          </cell>
        </row>
        <row r="173">
          <cell r="A173" t="str">
            <v>el.149</v>
          </cell>
          <cell r="D173">
            <v>15000</v>
          </cell>
        </row>
        <row r="174">
          <cell r="A174" t="str">
            <v>el.150</v>
          </cell>
          <cell r="D174">
            <v>5.695</v>
          </cell>
        </row>
        <row r="175">
          <cell r="A175" t="str">
            <v>el.151</v>
          </cell>
          <cell r="D175">
            <v>40.1</v>
          </cell>
        </row>
        <row r="176">
          <cell r="A176" t="str">
            <v>el.152</v>
          </cell>
          <cell r="D176">
            <v>137.69</v>
          </cell>
        </row>
        <row r="177">
          <cell r="A177" t="str">
            <v>el.159</v>
          </cell>
          <cell r="D177">
            <v>1.93</v>
          </cell>
        </row>
        <row r="178">
          <cell r="A178" t="str">
            <v>el.160</v>
          </cell>
          <cell r="D178">
            <v>138.905</v>
          </cell>
        </row>
        <row r="179">
          <cell r="A179" t="str">
            <v>el.160a</v>
          </cell>
          <cell r="D179">
            <v>9.14</v>
          </cell>
        </row>
        <row r="180">
          <cell r="A180" t="str">
            <v>el.164</v>
          </cell>
          <cell r="D180">
            <v>1.66</v>
          </cell>
        </row>
        <row r="181">
          <cell r="A181" t="str">
            <v>el.165</v>
          </cell>
          <cell r="D181">
            <v>3.88</v>
          </cell>
        </row>
        <row r="182">
          <cell r="A182" t="str">
            <v>el.166</v>
          </cell>
          <cell r="D182">
            <v>5.88</v>
          </cell>
        </row>
        <row r="183">
          <cell r="A183" t="str">
            <v>el.168</v>
          </cell>
          <cell r="D183">
            <v>1.19</v>
          </cell>
        </row>
        <row r="184">
          <cell r="A184" t="str">
            <v>el.170</v>
          </cell>
          <cell r="D184">
            <v>5.5</v>
          </cell>
        </row>
        <row r="185">
          <cell r="A185" t="str">
            <v>el.171</v>
          </cell>
          <cell r="D185">
            <v>1.48</v>
          </cell>
        </row>
        <row r="186">
          <cell r="A186" t="str">
            <v>el.172</v>
          </cell>
          <cell r="D186">
            <v>2.62</v>
          </cell>
        </row>
        <row r="187">
          <cell r="A187" t="str">
            <v>el.173'</v>
          </cell>
          <cell r="D187">
            <v>7.2</v>
          </cell>
        </row>
        <row r="188">
          <cell r="A188" t="str">
            <v>el.176</v>
          </cell>
          <cell r="D188">
            <v>43.995</v>
          </cell>
        </row>
        <row r="189">
          <cell r="A189" t="str">
            <v>el.177</v>
          </cell>
          <cell r="D189">
            <v>5.635</v>
          </cell>
        </row>
        <row r="190">
          <cell r="A190" t="str">
            <v>el.178</v>
          </cell>
          <cell r="D190">
            <v>2.71</v>
          </cell>
        </row>
        <row r="191">
          <cell r="A191" t="str">
            <v>el.179</v>
          </cell>
          <cell r="D191">
            <v>2.6733</v>
          </cell>
        </row>
        <row r="192">
          <cell r="A192" t="str">
            <v>el.180</v>
          </cell>
          <cell r="D192">
            <v>3.7833</v>
          </cell>
        </row>
        <row r="193">
          <cell r="A193" t="str">
            <v>el.181</v>
          </cell>
          <cell r="D193">
            <v>2.71</v>
          </cell>
        </row>
        <row r="194">
          <cell r="A194" t="str">
            <v>el.182</v>
          </cell>
          <cell r="D194">
            <v>8.9167</v>
          </cell>
        </row>
        <row r="195">
          <cell r="A195" t="str">
            <v>el.183</v>
          </cell>
          <cell r="D195">
            <v>12.68</v>
          </cell>
        </row>
        <row r="196">
          <cell r="A196" t="str">
            <v>el.184</v>
          </cell>
          <cell r="D196">
            <v>2.3</v>
          </cell>
        </row>
        <row r="197">
          <cell r="A197" t="str">
            <v>el.185</v>
          </cell>
          <cell r="D197">
            <v>2.585</v>
          </cell>
        </row>
        <row r="198">
          <cell r="A198" t="str">
            <v>el.186</v>
          </cell>
          <cell r="D198">
            <v>1.51</v>
          </cell>
        </row>
        <row r="199">
          <cell r="A199" t="str">
            <v>el.187</v>
          </cell>
          <cell r="D199">
            <v>2.405</v>
          </cell>
        </row>
        <row r="200">
          <cell r="A200" t="str">
            <v>el.188</v>
          </cell>
          <cell r="D200">
            <v>3.735</v>
          </cell>
        </row>
        <row r="201">
          <cell r="A201" t="str">
            <v>el.189</v>
          </cell>
          <cell r="D201">
            <v>5.515</v>
          </cell>
        </row>
        <row r="202">
          <cell r="A202" t="str">
            <v>el.190</v>
          </cell>
          <cell r="D202">
            <v>10.74</v>
          </cell>
        </row>
        <row r="203">
          <cell r="A203" t="str">
            <v>eq.001</v>
          </cell>
          <cell r="D203">
            <v>345378.2</v>
          </cell>
        </row>
        <row r="204">
          <cell r="A204" t="str">
            <v>eq.001b</v>
          </cell>
          <cell r="D204">
            <v>333603.62</v>
          </cell>
        </row>
        <row r="205">
          <cell r="A205" t="str">
            <v>eq.002</v>
          </cell>
          <cell r="D205">
            <v>60593.49</v>
          </cell>
        </row>
        <row r="206">
          <cell r="A206" t="str">
            <v>eq.002b</v>
          </cell>
          <cell r="D206">
            <v>63348.42</v>
          </cell>
        </row>
        <row r="207">
          <cell r="A207" t="str">
            <v>eq.003</v>
          </cell>
          <cell r="D207">
            <v>306.72</v>
          </cell>
        </row>
        <row r="208">
          <cell r="A208" t="str">
            <v>eq.004</v>
          </cell>
          <cell r="D208">
            <v>441.96</v>
          </cell>
        </row>
        <row r="209">
          <cell r="A209" t="str">
            <v>eq.005</v>
          </cell>
          <cell r="D209">
            <v>239.95</v>
          </cell>
        </row>
        <row r="210">
          <cell r="A210" t="str">
            <v>eq.006</v>
          </cell>
          <cell r="D210">
            <v>4.95</v>
          </cell>
        </row>
        <row r="211">
          <cell r="A211" t="str">
            <v>eq.007</v>
          </cell>
          <cell r="D211">
            <v>546281.75</v>
          </cell>
        </row>
        <row r="212">
          <cell r="A212" t="str">
            <v>eq.007b</v>
          </cell>
          <cell r="D212">
            <v>445703.9</v>
          </cell>
        </row>
        <row r="213">
          <cell r="A213" t="str">
            <v>eq.008</v>
          </cell>
          <cell r="D213">
            <v>239.95</v>
          </cell>
        </row>
        <row r="214">
          <cell r="A214" t="str">
            <v>eq.009</v>
          </cell>
          <cell r="D214">
            <v>869353.2792</v>
          </cell>
        </row>
        <row r="215">
          <cell r="A215" t="str">
            <v>eq.009b</v>
          </cell>
          <cell r="D215">
            <v>1110533.38</v>
          </cell>
        </row>
        <row r="216">
          <cell r="A216" t="str">
            <v>eq.010</v>
          </cell>
          <cell r="D216">
            <v>370.62</v>
          </cell>
        </row>
        <row r="217">
          <cell r="A217" t="str">
            <v>eq.011</v>
          </cell>
          <cell r="D217">
            <v>669629.73</v>
          </cell>
        </row>
        <row r="218">
          <cell r="A218" t="str">
            <v>eq.012</v>
          </cell>
          <cell r="D218">
            <v>306.72</v>
          </cell>
        </row>
        <row r="219">
          <cell r="A219" t="str">
            <v>eq.013</v>
          </cell>
          <cell r="D219">
            <v>851600.644</v>
          </cell>
        </row>
        <row r="220">
          <cell r="A220" t="str">
            <v>eq.013b</v>
          </cell>
          <cell r="D220">
            <v>1058625.95</v>
          </cell>
        </row>
        <row r="221">
          <cell r="A221" t="str">
            <v>eq.014</v>
          </cell>
          <cell r="D221">
            <v>293.4</v>
          </cell>
        </row>
        <row r="222">
          <cell r="A222" t="str">
            <v>eq.015</v>
          </cell>
          <cell r="D222">
            <v>506006.18</v>
          </cell>
        </row>
        <row r="223">
          <cell r="A223" t="str">
            <v>eq.016</v>
          </cell>
          <cell r="D223">
            <v>182.08</v>
          </cell>
        </row>
        <row r="224">
          <cell r="A224" t="str">
            <v>eq.017</v>
          </cell>
          <cell r="D224">
            <v>689779.77</v>
          </cell>
        </row>
        <row r="225">
          <cell r="A225" t="str">
            <v>eq.018</v>
          </cell>
          <cell r="D225">
            <v>253.61</v>
          </cell>
        </row>
        <row r="226">
          <cell r="A226" t="str">
            <v>eq.019</v>
          </cell>
          <cell r="D226">
            <v>975432.38</v>
          </cell>
        </row>
        <row r="227">
          <cell r="A227" t="str">
            <v>eq.019b</v>
          </cell>
          <cell r="D227">
            <v>599360.93</v>
          </cell>
        </row>
        <row r="228">
          <cell r="A228" t="str">
            <v>eq.020</v>
          </cell>
          <cell r="D228">
            <v>441.96</v>
          </cell>
        </row>
        <row r="229">
          <cell r="A229" t="str">
            <v>eq.021</v>
          </cell>
          <cell r="D229">
            <v>375700.1</v>
          </cell>
        </row>
        <row r="230">
          <cell r="A230" t="str">
            <v>eq.022</v>
          </cell>
          <cell r="D230">
            <v>159.78</v>
          </cell>
        </row>
        <row r="231">
          <cell r="A231" t="str">
            <v>eq.024</v>
          </cell>
          <cell r="D231">
            <v>1270943.3481</v>
          </cell>
        </row>
        <row r="232">
          <cell r="A232" t="str">
            <v>eq.024b</v>
          </cell>
          <cell r="D232">
            <v>2739512.51</v>
          </cell>
        </row>
        <row r="233">
          <cell r="A233" t="str">
            <v>eq.025</v>
          </cell>
          <cell r="D233">
            <v>404.4</v>
          </cell>
        </row>
        <row r="234">
          <cell r="A234" t="str">
            <v>eq.026</v>
          </cell>
          <cell r="D234">
            <v>12493.5151</v>
          </cell>
        </row>
        <row r="235">
          <cell r="A235" t="str">
            <v>eq.026b</v>
          </cell>
          <cell r="D235">
            <v>16049.86</v>
          </cell>
        </row>
        <row r="236">
          <cell r="A236" t="str">
            <v>eq.028</v>
          </cell>
          <cell r="D236">
            <v>8968.2639</v>
          </cell>
        </row>
        <row r="237">
          <cell r="A237" t="str">
            <v>eq.028b</v>
          </cell>
          <cell r="D237">
            <v>3512.68</v>
          </cell>
        </row>
        <row r="238">
          <cell r="A238" t="str">
            <v>eq.030</v>
          </cell>
          <cell r="D238">
            <v>1388102.0438</v>
          </cell>
        </row>
        <row r="239">
          <cell r="A239" t="str">
            <v>eq.030b</v>
          </cell>
          <cell r="D239">
            <v>156791.86</v>
          </cell>
        </row>
        <row r="240">
          <cell r="A240" t="str">
            <v>eq.040</v>
          </cell>
          <cell r="D240">
            <v>15896.5134</v>
          </cell>
        </row>
        <row r="241">
          <cell r="A241" t="str">
            <v>eq.040b</v>
          </cell>
          <cell r="D241">
            <v>11457.45</v>
          </cell>
        </row>
        <row r="242">
          <cell r="A242" t="str">
            <v>eq.044</v>
          </cell>
          <cell r="D242">
            <v>25838.4015</v>
          </cell>
        </row>
        <row r="243">
          <cell r="A243" t="str">
            <v>eq.044b</v>
          </cell>
          <cell r="D243">
            <v>49677.24</v>
          </cell>
        </row>
        <row r="244">
          <cell r="A244" t="str">
            <v>eq.048</v>
          </cell>
          <cell r="D244">
            <v>131995.16</v>
          </cell>
        </row>
        <row r="245">
          <cell r="A245" t="str">
            <v>eq.050</v>
          </cell>
          <cell r="D245">
            <v>86083.88</v>
          </cell>
        </row>
        <row r="246">
          <cell r="A246" t="str">
            <v>eq.052</v>
          </cell>
          <cell r="D246">
            <v>97561.63</v>
          </cell>
        </row>
        <row r="247">
          <cell r="A247" t="str">
            <v>eq.054</v>
          </cell>
          <cell r="D247">
            <v>44782.11</v>
          </cell>
        </row>
        <row r="248">
          <cell r="A248" t="str">
            <v>eq.054b</v>
          </cell>
          <cell r="D248">
            <v>49576</v>
          </cell>
        </row>
        <row r="249">
          <cell r="A249" t="str">
            <v>eq.058</v>
          </cell>
          <cell r="D249">
            <v>226283.8921</v>
          </cell>
        </row>
        <row r="250">
          <cell r="A250" t="str">
            <v>eq.058b</v>
          </cell>
          <cell r="D250">
            <v>431422.5</v>
          </cell>
        </row>
        <row r="251">
          <cell r="A251" t="str">
            <v>eq.060</v>
          </cell>
          <cell r="D251">
            <v>15667.7441</v>
          </cell>
        </row>
        <row r="252">
          <cell r="A252" t="str">
            <v>eq.060b</v>
          </cell>
          <cell r="D252">
            <v>11811.08</v>
          </cell>
        </row>
        <row r="253">
          <cell r="A253" t="str">
            <v>eq.062</v>
          </cell>
          <cell r="D253">
            <v>11980</v>
          </cell>
        </row>
        <row r="254">
          <cell r="A254" t="str">
            <v>eq.066</v>
          </cell>
          <cell r="D254">
            <v>70940.3</v>
          </cell>
        </row>
        <row r="255">
          <cell r="A255" t="str">
            <v>eq.066b</v>
          </cell>
          <cell r="D255">
            <v>57000</v>
          </cell>
        </row>
        <row r="256">
          <cell r="A256" t="str">
            <v>eq.070</v>
          </cell>
          <cell r="D256">
            <v>59651.27</v>
          </cell>
        </row>
        <row r="257">
          <cell r="A257" t="str">
            <v>eq.070b</v>
          </cell>
          <cell r="D257">
            <v>80000</v>
          </cell>
        </row>
        <row r="258">
          <cell r="A258" t="str">
            <v>eq.072</v>
          </cell>
          <cell r="D258">
            <v>160035.58</v>
          </cell>
        </row>
        <row r="259">
          <cell r="A259" t="str">
            <v>eq.072b</v>
          </cell>
          <cell r="D259">
            <v>185000</v>
          </cell>
        </row>
        <row r="260">
          <cell r="A260" t="str">
            <v>eq.074</v>
          </cell>
          <cell r="D260">
            <v>97427.46</v>
          </cell>
        </row>
        <row r="261">
          <cell r="A261" t="str">
            <v>eq.074b</v>
          </cell>
          <cell r="D261">
            <v>125000</v>
          </cell>
        </row>
        <row r="262">
          <cell r="A262" t="str">
            <v>eq.076</v>
          </cell>
          <cell r="D262">
            <v>559090.7</v>
          </cell>
        </row>
        <row r="263">
          <cell r="A263" t="str">
            <v>eq.078</v>
          </cell>
          <cell r="D263">
            <v>118036.2</v>
          </cell>
        </row>
        <row r="264">
          <cell r="A264" t="str">
            <v>eq.080</v>
          </cell>
          <cell r="D264">
            <v>5.43</v>
          </cell>
        </row>
        <row r="265">
          <cell r="A265" t="str">
            <v>eq.082</v>
          </cell>
          <cell r="D265">
            <v>93933</v>
          </cell>
        </row>
        <row r="266">
          <cell r="A266" t="str">
            <v>eq.082b</v>
          </cell>
          <cell r="D266">
            <v>103186.48</v>
          </cell>
        </row>
        <row r="267">
          <cell r="A267" t="str">
            <v>eq.086</v>
          </cell>
          <cell r="D267">
            <v>23459.01</v>
          </cell>
        </row>
        <row r="268">
          <cell r="A268" t="str">
            <v>eq.088</v>
          </cell>
          <cell r="D268">
            <v>2870670.31</v>
          </cell>
        </row>
        <row r="269">
          <cell r="A269" t="str">
            <v>eq.088b</v>
          </cell>
          <cell r="D269">
            <v>4900529</v>
          </cell>
        </row>
        <row r="270">
          <cell r="A270" t="str">
            <v>eq.090</v>
          </cell>
          <cell r="D270">
            <v>127716.1</v>
          </cell>
        </row>
        <row r="271">
          <cell r="A271" t="str">
            <v>eq.090b</v>
          </cell>
          <cell r="D271">
            <v>130000</v>
          </cell>
        </row>
        <row r="272">
          <cell r="A272" t="str">
            <v>eq.100</v>
          </cell>
          <cell r="D272">
            <v>259.67</v>
          </cell>
        </row>
        <row r="273">
          <cell r="A273" t="str">
            <v>eq.102</v>
          </cell>
          <cell r="D273">
            <v>1013815.26</v>
          </cell>
        </row>
        <row r="274">
          <cell r="A274" t="str">
            <v>eq.102b</v>
          </cell>
          <cell r="D274">
            <v>1524346</v>
          </cell>
        </row>
        <row r="275">
          <cell r="A275" t="str">
            <v>eq.104</v>
          </cell>
          <cell r="D275">
            <v>867187.52</v>
          </cell>
        </row>
        <row r="276">
          <cell r="A276" t="str">
            <v>eq.105</v>
          </cell>
          <cell r="D276">
            <v>283.47</v>
          </cell>
        </row>
        <row r="277">
          <cell r="A277" t="str">
            <v>eq.106</v>
          </cell>
          <cell r="D277">
            <v>340993.215</v>
          </cell>
        </row>
        <row r="278">
          <cell r="A278" t="str">
            <v>eq.107</v>
          </cell>
          <cell r="D278">
            <v>385329.185</v>
          </cell>
        </row>
        <row r="279">
          <cell r="A279" t="str">
            <v>eq.108</v>
          </cell>
          <cell r="D279">
            <v>2343.8033</v>
          </cell>
        </row>
        <row r="280">
          <cell r="A280" t="str">
            <v>eq.109</v>
          </cell>
          <cell r="D280">
            <v>2755.6467</v>
          </cell>
        </row>
        <row r="281">
          <cell r="A281" t="str">
            <v>eq.110</v>
          </cell>
          <cell r="D281">
            <v>3175.21</v>
          </cell>
        </row>
        <row r="282">
          <cell r="A282" t="str">
            <v>eq.111</v>
          </cell>
          <cell r="D282">
            <v>66500</v>
          </cell>
        </row>
        <row r="283">
          <cell r="A283" t="str">
            <v>eq.112</v>
          </cell>
          <cell r="D283">
            <v>66500</v>
          </cell>
        </row>
        <row r="284">
          <cell r="A284" t="str">
            <v>eq.116</v>
          </cell>
          <cell r="D284">
            <v>1105771.23</v>
          </cell>
        </row>
        <row r="285">
          <cell r="A285" t="str">
            <v>eq.120</v>
          </cell>
          <cell r="D285">
            <v>1200</v>
          </cell>
        </row>
        <row r="286">
          <cell r="A286" t="str">
            <v>eq.121</v>
          </cell>
          <cell r="D286">
            <v>260</v>
          </cell>
        </row>
        <row r="287">
          <cell r="A287" t="str">
            <v>eq.122</v>
          </cell>
          <cell r="D287">
            <v>10000</v>
          </cell>
        </row>
        <row r="288">
          <cell r="A288" t="str">
            <v>eq.123</v>
          </cell>
          <cell r="D288">
            <v>235012.1</v>
          </cell>
        </row>
        <row r="289">
          <cell r="A289" t="str">
            <v>eq.124</v>
          </cell>
          <cell r="D289">
            <v>310015.97</v>
          </cell>
        </row>
        <row r="290">
          <cell r="A290" t="str">
            <v>eq.125</v>
          </cell>
          <cell r="D290">
            <v>260013.39</v>
          </cell>
        </row>
        <row r="291">
          <cell r="A291" t="str">
            <v>eq.200</v>
          </cell>
          <cell r="D291">
            <v>314.05</v>
          </cell>
        </row>
        <row r="292">
          <cell r="A292" t="str">
            <v>eq.201</v>
          </cell>
          <cell r="D292">
            <v>4.94</v>
          </cell>
        </row>
        <row r="293">
          <cell r="A293" t="str">
            <v>eq.300</v>
          </cell>
          <cell r="D293">
            <v>5.57</v>
          </cell>
        </row>
        <row r="294">
          <cell r="A294" t="str">
            <v>eq.301</v>
          </cell>
          <cell r="D294">
            <v>3.39</v>
          </cell>
        </row>
        <row r="295">
          <cell r="A295" t="str">
            <v>eq.901</v>
          </cell>
          <cell r="D295">
            <v>652862.19</v>
          </cell>
        </row>
        <row r="296">
          <cell r="A296" t="str">
            <v>eq.902</v>
          </cell>
          <cell r="D296">
            <v>1799616.49</v>
          </cell>
        </row>
        <row r="297">
          <cell r="A297" t="str">
            <v>eq.976</v>
          </cell>
          <cell r="D297">
            <v>622236.81</v>
          </cell>
        </row>
        <row r="298">
          <cell r="A298" t="str">
            <v>fi.023</v>
          </cell>
          <cell r="D298">
            <v>18.85</v>
          </cell>
        </row>
        <row r="299">
          <cell r="A299" t="str">
            <v>fi.024</v>
          </cell>
          <cell r="D299">
            <v>4.71</v>
          </cell>
        </row>
        <row r="300">
          <cell r="A300" t="str">
            <v>fi.025</v>
          </cell>
          <cell r="D300">
            <v>12.2</v>
          </cell>
        </row>
        <row r="301">
          <cell r="A301" t="str">
            <v>fi.026</v>
          </cell>
          <cell r="D301">
            <v>120</v>
          </cell>
        </row>
        <row r="302">
          <cell r="A302" t="str">
            <v>fi.027</v>
          </cell>
          <cell r="D302">
            <v>16.53</v>
          </cell>
        </row>
        <row r="303">
          <cell r="A303" t="str">
            <v>fi.028</v>
          </cell>
          <cell r="D303">
            <v>5669.77</v>
          </cell>
        </row>
        <row r="304">
          <cell r="A304" t="str">
            <v>fi.029</v>
          </cell>
          <cell r="D304">
            <v>6491.04</v>
          </cell>
        </row>
        <row r="305">
          <cell r="A305" t="str">
            <v>fl.001</v>
          </cell>
          <cell r="D305">
            <v>350</v>
          </cell>
        </row>
        <row r="306">
          <cell r="A306" t="str">
            <v>fo.010</v>
          </cell>
          <cell r="D306">
            <v>38.015</v>
          </cell>
        </row>
        <row r="307">
          <cell r="A307" t="str">
            <v>fo.020</v>
          </cell>
          <cell r="D307">
            <v>10.0467</v>
          </cell>
        </row>
        <row r="308">
          <cell r="A308" t="str">
            <v>fo.030</v>
          </cell>
          <cell r="D308">
            <v>30.3967</v>
          </cell>
        </row>
        <row r="309">
          <cell r="A309" t="str">
            <v>fo.035</v>
          </cell>
          <cell r="D309">
            <v>51.2633</v>
          </cell>
        </row>
        <row r="310">
          <cell r="A310" t="str">
            <v>fo.040</v>
          </cell>
          <cell r="D310">
            <v>71.57</v>
          </cell>
        </row>
        <row r="311">
          <cell r="A311" t="str">
            <v>ga.005</v>
          </cell>
          <cell r="D311">
            <v>117.375</v>
          </cell>
        </row>
        <row r="312">
          <cell r="A312" t="str">
            <v>ga.006</v>
          </cell>
          <cell r="D312">
            <v>1.61</v>
          </cell>
        </row>
        <row r="313">
          <cell r="A313" t="str">
            <v>ga.007</v>
          </cell>
          <cell r="D313">
            <v>4.585</v>
          </cell>
        </row>
        <row r="314">
          <cell r="A314" t="str">
            <v>ga.008</v>
          </cell>
          <cell r="D314">
            <v>42.82</v>
          </cell>
        </row>
        <row r="315">
          <cell r="A315" t="str">
            <v>ga.009</v>
          </cell>
          <cell r="D315">
            <v>19.83</v>
          </cell>
        </row>
        <row r="316">
          <cell r="A316" t="str">
            <v>ga.010</v>
          </cell>
          <cell r="D316">
            <v>23.4467</v>
          </cell>
        </row>
        <row r="317">
          <cell r="A317" t="str">
            <v>ga.011</v>
          </cell>
          <cell r="D317">
            <v>45.6267</v>
          </cell>
        </row>
        <row r="318">
          <cell r="A318" t="str">
            <v>ga.012</v>
          </cell>
          <cell r="D318">
            <v>81.82</v>
          </cell>
        </row>
        <row r="319">
          <cell r="A319" t="str">
            <v>ga.020</v>
          </cell>
          <cell r="D319">
            <v>190.08</v>
          </cell>
        </row>
        <row r="320">
          <cell r="A320" t="str">
            <v>ga.113</v>
          </cell>
          <cell r="D320">
            <v>866.94</v>
          </cell>
        </row>
        <row r="321">
          <cell r="A321" t="str">
            <v>ga.114</v>
          </cell>
          <cell r="D321">
            <v>1052.895</v>
          </cell>
        </row>
        <row r="322">
          <cell r="A322" t="str">
            <v>ga.116</v>
          </cell>
          <cell r="D322">
            <v>871.075</v>
          </cell>
        </row>
        <row r="323">
          <cell r="A323" t="str">
            <v>ga.126</v>
          </cell>
          <cell r="D323">
            <v>150.55</v>
          </cell>
        </row>
        <row r="324">
          <cell r="A324" t="str">
            <v>ga.137</v>
          </cell>
          <cell r="D324">
            <v>70.4333</v>
          </cell>
        </row>
        <row r="325">
          <cell r="A325" t="str">
            <v>ga.138</v>
          </cell>
          <cell r="D325">
            <v>100.845</v>
          </cell>
        </row>
        <row r="326">
          <cell r="A326" t="str">
            <v>ga.152</v>
          </cell>
          <cell r="D326">
            <v>14.16</v>
          </cell>
        </row>
        <row r="327">
          <cell r="A327" t="str">
            <v>ga.153</v>
          </cell>
          <cell r="D327">
            <v>15.72</v>
          </cell>
        </row>
        <row r="328">
          <cell r="A328" t="str">
            <v>ga.156</v>
          </cell>
          <cell r="D328">
            <v>23.35</v>
          </cell>
        </row>
        <row r="329">
          <cell r="A329" t="str">
            <v>ga.159</v>
          </cell>
          <cell r="D329">
            <v>6.275</v>
          </cell>
        </row>
        <row r="330">
          <cell r="A330" t="str">
            <v>ga.160</v>
          </cell>
          <cell r="D330">
            <v>7.6033</v>
          </cell>
        </row>
        <row r="331">
          <cell r="A331" t="str">
            <v>ga.161</v>
          </cell>
          <cell r="D331">
            <v>15.8</v>
          </cell>
        </row>
        <row r="332">
          <cell r="A332" t="str">
            <v>ga.162</v>
          </cell>
          <cell r="D332">
            <v>91.54</v>
          </cell>
        </row>
        <row r="333">
          <cell r="A333" t="str">
            <v>ga.163</v>
          </cell>
          <cell r="D333">
            <v>27.24</v>
          </cell>
        </row>
        <row r="334">
          <cell r="A334" t="str">
            <v>ga.166</v>
          </cell>
          <cell r="D334">
            <v>7.27</v>
          </cell>
        </row>
        <row r="335">
          <cell r="A335" t="str">
            <v>ga.167</v>
          </cell>
          <cell r="D335">
            <v>2.15</v>
          </cell>
        </row>
        <row r="336">
          <cell r="A336" t="str">
            <v>ga.168</v>
          </cell>
          <cell r="D336">
            <v>11.45</v>
          </cell>
        </row>
        <row r="337">
          <cell r="A337" t="str">
            <v>ga.169</v>
          </cell>
          <cell r="D337">
            <v>8.77</v>
          </cell>
        </row>
        <row r="338">
          <cell r="A338" t="str">
            <v>ga.170</v>
          </cell>
          <cell r="D338">
            <v>12.48</v>
          </cell>
        </row>
        <row r="339">
          <cell r="A339" t="str">
            <v>ga.171</v>
          </cell>
          <cell r="D339">
            <v>20.535</v>
          </cell>
        </row>
        <row r="340">
          <cell r="A340" t="str">
            <v>ga.172</v>
          </cell>
          <cell r="D340">
            <v>25.035</v>
          </cell>
        </row>
        <row r="341">
          <cell r="A341" t="str">
            <v>ga.173</v>
          </cell>
          <cell r="D341">
            <v>117.375</v>
          </cell>
        </row>
        <row r="342">
          <cell r="A342" t="str">
            <v>ga.180</v>
          </cell>
          <cell r="D342">
            <v>4.68</v>
          </cell>
        </row>
        <row r="343">
          <cell r="A343" t="str">
            <v>ga.190</v>
          </cell>
          <cell r="D343">
            <v>25.255</v>
          </cell>
        </row>
        <row r="344">
          <cell r="A344" t="str">
            <v>ga.191</v>
          </cell>
          <cell r="D344">
            <v>21.905</v>
          </cell>
        </row>
        <row r="345">
          <cell r="A345" t="str">
            <v>ga.195</v>
          </cell>
          <cell r="D345">
            <v>2.82</v>
          </cell>
        </row>
        <row r="346">
          <cell r="A346" t="str">
            <v>ga.200</v>
          </cell>
          <cell r="D346">
            <v>5.685</v>
          </cell>
        </row>
        <row r="347">
          <cell r="A347" t="str">
            <v>ga.201</v>
          </cell>
          <cell r="D347">
            <v>3.645</v>
          </cell>
        </row>
        <row r="348">
          <cell r="A348" t="str">
            <v>ga.205</v>
          </cell>
          <cell r="D348">
            <v>3.56</v>
          </cell>
        </row>
        <row r="349">
          <cell r="A349" t="str">
            <v>ga.206</v>
          </cell>
          <cell r="D349">
            <v>13.82</v>
          </cell>
        </row>
        <row r="350">
          <cell r="A350" t="str">
            <v>ga.207</v>
          </cell>
          <cell r="D350">
            <v>21.98</v>
          </cell>
        </row>
        <row r="351">
          <cell r="A351" t="str">
            <v>ga.208</v>
          </cell>
          <cell r="D351">
            <v>44.2</v>
          </cell>
        </row>
        <row r="352">
          <cell r="A352" t="str">
            <v>ga.209</v>
          </cell>
          <cell r="D352">
            <v>0.86</v>
          </cell>
        </row>
        <row r="353">
          <cell r="A353" t="str">
            <v>ga.210</v>
          </cell>
          <cell r="D353">
            <v>1.71</v>
          </cell>
        </row>
        <row r="354">
          <cell r="A354" t="str">
            <v>ga.211</v>
          </cell>
          <cell r="D354">
            <v>17.13</v>
          </cell>
        </row>
        <row r="355">
          <cell r="A355" t="str">
            <v>ga.212</v>
          </cell>
          <cell r="D355">
            <v>70.15</v>
          </cell>
        </row>
        <row r="356">
          <cell r="A356" t="str">
            <v>ga.213</v>
          </cell>
          <cell r="D356">
            <v>72.41</v>
          </cell>
        </row>
        <row r="357">
          <cell r="A357" t="str">
            <v>ga.214</v>
          </cell>
          <cell r="D357">
            <v>148.09</v>
          </cell>
        </row>
        <row r="358">
          <cell r="A358" t="str">
            <v>ga.215</v>
          </cell>
          <cell r="D358">
            <v>7.25</v>
          </cell>
        </row>
        <row r="359">
          <cell r="A359" t="str">
            <v>ga.216</v>
          </cell>
          <cell r="D359">
            <v>3.92</v>
          </cell>
        </row>
        <row r="360">
          <cell r="A360" t="str">
            <v>ga.217</v>
          </cell>
          <cell r="D360">
            <v>17</v>
          </cell>
        </row>
        <row r="361">
          <cell r="A361" t="str">
            <v>gajo.161</v>
          </cell>
          <cell r="D361">
            <v>69.335</v>
          </cell>
        </row>
        <row r="362">
          <cell r="A362" t="str">
            <v>her.001</v>
          </cell>
          <cell r="D362">
            <v>1719.46</v>
          </cell>
        </row>
        <row r="363">
          <cell r="A363" t="str">
            <v>her.002</v>
          </cell>
          <cell r="D363">
            <v>204.96</v>
          </cell>
        </row>
        <row r="364">
          <cell r="A364" t="str">
            <v>her.003</v>
          </cell>
          <cell r="D364">
            <v>222.31</v>
          </cell>
        </row>
        <row r="365">
          <cell r="A365" t="str">
            <v>her.004</v>
          </cell>
          <cell r="D365">
            <v>29.75</v>
          </cell>
        </row>
        <row r="366">
          <cell r="A366" t="str">
            <v>her.005</v>
          </cell>
          <cell r="D366">
            <v>80.99</v>
          </cell>
        </row>
        <row r="367">
          <cell r="A367" t="str">
            <v>her.006</v>
          </cell>
          <cell r="D367">
            <v>9.09</v>
          </cell>
        </row>
        <row r="368">
          <cell r="A368" t="str">
            <v>her.007</v>
          </cell>
          <cell r="D368">
            <v>45.45</v>
          </cell>
        </row>
        <row r="369">
          <cell r="A369" t="str">
            <v>her.008</v>
          </cell>
          <cell r="D369">
            <v>11.57</v>
          </cell>
        </row>
        <row r="370">
          <cell r="A370" t="str">
            <v>her.009</v>
          </cell>
          <cell r="D370">
            <v>326.45</v>
          </cell>
        </row>
        <row r="371">
          <cell r="A371" t="str">
            <v>her.010</v>
          </cell>
          <cell r="D371">
            <v>947.11</v>
          </cell>
        </row>
        <row r="372">
          <cell r="A372" t="str">
            <v>her.011</v>
          </cell>
          <cell r="D372">
            <v>1590.91</v>
          </cell>
        </row>
        <row r="373">
          <cell r="A373" t="str">
            <v>her.012</v>
          </cell>
          <cell r="D373">
            <v>55.37</v>
          </cell>
        </row>
        <row r="374">
          <cell r="A374" t="str">
            <v>her.013</v>
          </cell>
          <cell r="D374">
            <v>134.71</v>
          </cell>
        </row>
        <row r="375">
          <cell r="A375" t="str">
            <v>la.001</v>
          </cell>
          <cell r="D375">
            <v>1200</v>
          </cell>
        </row>
        <row r="376">
          <cell r="A376" t="str">
            <v>la.002</v>
          </cell>
          <cell r="D376">
            <v>2.55</v>
          </cell>
        </row>
        <row r="377">
          <cell r="A377" t="str">
            <v>la.003</v>
          </cell>
          <cell r="D377">
            <v>900</v>
          </cell>
        </row>
        <row r="378">
          <cell r="A378" t="str">
            <v>la.006</v>
          </cell>
          <cell r="D378">
            <v>1.99</v>
          </cell>
        </row>
        <row r="379">
          <cell r="A379" t="str">
            <v>la.007</v>
          </cell>
          <cell r="D379">
            <v>3.9</v>
          </cell>
        </row>
        <row r="380">
          <cell r="A380" t="str">
            <v>la.008</v>
          </cell>
          <cell r="D380">
            <v>3.44</v>
          </cell>
        </row>
        <row r="381">
          <cell r="A381" t="str">
            <v>la.009</v>
          </cell>
          <cell r="D381">
            <v>4.68</v>
          </cell>
        </row>
        <row r="382">
          <cell r="A382" t="str">
            <v>la.010</v>
          </cell>
          <cell r="D382">
            <v>5.24</v>
          </cell>
        </row>
        <row r="383">
          <cell r="A383" t="str">
            <v>la.011</v>
          </cell>
          <cell r="D383">
            <v>4.44</v>
          </cell>
        </row>
        <row r="384">
          <cell r="A384" t="str">
            <v>la.012</v>
          </cell>
          <cell r="D384">
            <v>9</v>
          </cell>
        </row>
        <row r="385">
          <cell r="A385" t="str">
            <v>la.014</v>
          </cell>
          <cell r="D385">
            <v>1500</v>
          </cell>
        </row>
        <row r="386">
          <cell r="A386" t="str">
            <v>la.020</v>
          </cell>
          <cell r="D386">
            <v>1600</v>
          </cell>
        </row>
        <row r="387">
          <cell r="A387" t="str">
            <v>la.021</v>
          </cell>
          <cell r="D387">
            <v>1600</v>
          </cell>
        </row>
        <row r="388">
          <cell r="A388" t="str">
            <v>la.022</v>
          </cell>
          <cell r="D388">
            <v>1628.96</v>
          </cell>
        </row>
        <row r="389">
          <cell r="A389" t="str">
            <v>la.023</v>
          </cell>
          <cell r="D389">
            <v>1200</v>
          </cell>
        </row>
        <row r="390">
          <cell r="A390" t="str">
            <v>li.001</v>
          </cell>
          <cell r="D390">
            <v>1.335</v>
          </cell>
        </row>
        <row r="391">
          <cell r="A391" t="str">
            <v>li.002</v>
          </cell>
          <cell r="D391">
            <v>6.4</v>
          </cell>
        </row>
        <row r="392">
          <cell r="A392" t="str">
            <v>li.003</v>
          </cell>
          <cell r="D392">
            <v>6.4</v>
          </cell>
        </row>
        <row r="393">
          <cell r="A393" t="str">
            <v>li.004</v>
          </cell>
          <cell r="D393">
            <v>1.13</v>
          </cell>
        </row>
        <row r="394">
          <cell r="A394" t="str">
            <v>li.005</v>
          </cell>
          <cell r="D394">
            <v>68</v>
          </cell>
        </row>
        <row r="395">
          <cell r="A395" t="str">
            <v>li.006</v>
          </cell>
          <cell r="D395">
            <v>0.91</v>
          </cell>
        </row>
        <row r="396">
          <cell r="A396" t="str">
            <v>li.007</v>
          </cell>
          <cell r="D396">
            <v>1003.078</v>
          </cell>
        </row>
        <row r="397">
          <cell r="A397" t="str">
            <v>li.009</v>
          </cell>
          <cell r="D397">
            <v>1.6767</v>
          </cell>
        </row>
        <row r="398">
          <cell r="A398" t="str">
            <v>li.010</v>
          </cell>
          <cell r="D398">
            <v>22.47</v>
          </cell>
        </row>
        <row r="399">
          <cell r="A399" t="str">
            <v>li.015</v>
          </cell>
          <cell r="D399">
            <v>39.67</v>
          </cell>
        </row>
        <row r="400">
          <cell r="A400" t="str">
            <v>li.100</v>
          </cell>
          <cell r="D400">
            <v>6.62</v>
          </cell>
        </row>
        <row r="401">
          <cell r="A401" t="str">
            <v>ma.001</v>
          </cell>
          <cell r="D401">
            <v>56.78</v>
          </cell>
        </row>
        <row r="402">
          <cell r="A402" t="str">
            <v>ma.002</v>
          </cell>
          <cell r="D402">
            <v>12.195</v>
          </cell>
        </row>
        <row r="403">
          <cell r="A403" t="str">
            <v>ma.003</v>
          </cell>
          <cell r="D403">
            <v>59.365</v>
          </cell>
        </row>
        <row r="404">
          <cell r="A404" t="str">
            <v>ma.004</v>
          </cell>
          <cell r="D404">
            <v>44.545</v>
          </cell>
        </row>
        <row r="405">
          <cell r="A405" t="str">
            <v>ma.006</v>
          </cell>
          <cell r="D405">
            <v>49.725</v>
          </cell>
        </row>
        <row r="406">
          <cell r="A406" t="str">
            <v>ma.007</v>
          </cell>
          <cell r="D406">
            <v>29.695</v>
          </cell>
        </row>
        <row r="407">
          <cell r="A407" t="str">
            <v>ma.008</v>
          </cell>
          <cell r="D407">
            <v>6.525</v>
          </cell>
        </row>
        <row r="408">
          <cell r="A408" t="str">
            <v>ma.010</v>
          </cell>
          <cell r="D408">
            <v>28.73</v>
          </cell>
        </row>
        <row r="409">
          <cell r="A409" t="str">
            <v>ma.011</v>
          </cell>
          <cell r="D409">
            <v>72.93</v>
          </cell>
        </row>
        <row r="410">
          <cell r="A410" t="str">
            <v>ma.012</v>
          </cell>
          <cell r="D410">
            <v>79.61</v>
          </cell>
        </row>
        <row r="411">
          <cell r="A411" t="str">
            <v>ma.015</v>
          </cell>
          <cell r="D411">
            <v>2.755</v>
          </cell>
        </row>
        <row r="412">
          <cell r="A412" t="str">
            <v>ma.016</v>
          </cell>
          <cell r="D412">
            <v>13.56</v>
          </cell>
        </row>
        <row r="413">
          <cell r="A413" t="str">
            <v>ma.017</v>
          </cell>
          <cell r="D413">
            <v>195.42</v>
          </cell>
        </row>
        <row r="414">
          <cell r="A414" t="str">
            <v>ma.018</v>
          </cell>
          <cell r="D414">
            <v>29.88</v>
          </cell>
        </row>
        <row r="415">
          <cell r="A415" t="str">
            <v>ma.020</v>
          </cell>
          <cell r="D415">
            <v>10.66</v>
          </cell>
        </row>
        <row r="416">
          <cell r="A416" t="str">
            <v>ma.021</v>
          </cell>
          <cell r="D416">
            <v>127.77</v>
          </cell>
        </row>
        <row r="417">
          <cell r="A417" t="str">
            <v>ma.022</v>
          </cell>
          <cell r="D417">
            <v>90.5</v>
          </cell>
        </row>
        <row r="418">
          <cell r="A418" t="str">
            <v>ma.023</v>
          </cell>
          <cell r="D418">
            <v>4.4</v>
          </cell>
        </row>
        <row r="419">
          <cell r="A419" t="str">
            <v>ma.024</v>
          </cell>
          <cell r="D419">
            <v>3.5</v>
          </cell>
        </row>
        <row r="420">
          <cell r="A420" t="str">
            <v>ma.025</v>
          </cell>
          <cell r="D420">
            <v>2347.14</v>
          </cell>
        </row>
        <row r="421">
          <cell r="A421" t="str">
            <v>ma.026</v>
          </cell>
          <cell r="D421">
            <v>135.8</v>
          </cell>
        </row>
        <row r="422">
          <cell r="A422" t="str">
            <v>ma.050</v>
          </cell>
          <cell r="D422">
            <v>342.98</v>
          </cell>
        </row>
        <row r="423">
          <cell r="A423" t="str">
            <v>ma.051</v>
          </cell>
          <cell r="D423">
            <v>210.74</v>
          </cell>
        </row>
        <row r="424">
          <cell r="A424" t="str">
            <v>ma.052</v>
          </cell>
          <cell r="D424">
            <v>20.84</v>
          </cell>
        </row>
        <row r="425">
          <cell r="A425" t="str">
            <v>ma.053</v>
          </cell>
          <cell r="D425">
            <v>1.74</v>
          </cell>
        </row>
        <row r="426">
          <cell r="A426" t="str">
            <v>mo.001</v>
          </cell>
          <cell r="D426">
            <v>50.45</v>
          </cell>
        </row>
        <row r="427">
          <cell r="A427" t="str">
            <v>mo.002</v>
          </cell>
          <cell r="D427">
            <v>42.96</v>
          </cell>
        </row>
        <row r="428">
          <cell r="A428" t="str">
            <v>mo.003</v>
          </cell>
          <cell r="D428">
            <v>39.6</v>
          </cell>
        </row>
        <row r="429">
          <cell r="A429" t="str">
            <v>mo.004</v>
          </cell>
          <cell r="D429">
            <v>36.36</v>
          </cell>
        </row>
        <row r="430">
          <cell r="A430" t="str">
            <v>mo.005</v>
          </cell>
          <cell r="D430">
            <v>43.26</v>
          </cell>
        </row>
        <row r="431">
          <cell r="A431" t="str">
            <v>mo.006</v>
          </cell>
          <cell r="D431">
            <v>39.41</v>
          </cell>
        </row>
        <row r="432">
          <cell r="A432" t="str">
            <v>mo.007</v>
          </cell>
          <cell r="D432">
            <v>45.8</v>
          </cell>
        </row>
        <row r="433">
          <cell r="A433" t="str">
            <v>mo.008</v>
          </cell>
          <cell r="D433">
            <v>50.45</v>
          </cell>
        </row>
        <row r="434">
          <cell r="A434" t="str">
            <v>pb.010</v>
          </cell>
          <cell r="D434">
            <v>8710.18</v>
          </cell>
        </row>
        <row r="435">
          <cell r="A435" t="str">
            <v>pb.020</v>
          </cell>
          <cell r="D435">
            <v>8327.76</v>
          </cell>
        </row>
        <row r="436">
          <cell r="A436" t="str">
            <v>pb.030</v>
          </cell>
          <cell r="D436">
            <v>3465.97</v>
          </cell>
        </row>
        <row r="437">
          <cell r="A437" t="str">
            <v>pb.040</v>
          </cell>
          <cell r="D437">
            <v>1194.16</v>
          </cell>
        </row>
        <row r="438">
          <cell r="A438" t="str">
            <v>pb.050</v>
          </cell>
          <cell r="D438">
            <v>106.49</v>
          </cell>
        </row>
        <row r="439">
          <cell r="A439" t="str">
            <v>pb.060</v>
          </cell>
          <cell r="D439">
            <v>219.78</v>
          </cell>
        </row>
        <row r="440">
          <cell r="A440" t="str">
            <v>pb.070</v>
          </cell>
          <cell r="D440">
            <v>11770.41</v>
          </cell>
        </row>
        <row r="441">
          <cell r="A441" t="str">
            <v>pb.080</v>
          </cell>
          <cell r="D441">
            <v>8397.63</v>
          </cell>
        </row>
        <row r="442">
          <cell r="A442" t="str">
            <v>pb.090</v>
          </cell>
          <cell r="D442">
            <v>10010.23</v>
          </cell>
        </row>
        <row r="443">
          <cell r="A443" t="str">
            <v>pb.100</v>
          </cell>
          <cell r="D443">
            <v>1370.5</v>
          </cell>
        </row>
        <row r="444">
          <cell r="A444" t="str">
            <v>pb.101</v>
          </cell>
          <cell r="D444">
            <v>1749.39</v>
          </cell>
        </row>
        <row r="445">
          <cell r="A445" t="str">
            <v>pb.102</v>
          </cell>
          <cell r="D445">
            <v>1833.58</v>
          </cell>
        </row>
        <row r="446">
          <cell r="A446" t="str">
            <v>pb.140</v>
          </cell>
          <cell r="D446">
            <v>844.48</v>
          </cell>
        </row>
        <row r="447">
          <cell r="A447" t="str">
            <v>pi.002</v>
          </cell>
          <cell r="D447">
            <v>10.6933</v>
          </cell>
        </row>
        <row r="448">
          <cell r="A448" t="str">
            <v>pi.003</v>
          </cell>
          <cell r="D448">
            <v>14.2933</v>
          </cell>
        </row>
        <row r="449">
          <cell r="A449" t="str">
            <v>pi.004</v>
          </cell>
          <cell r="D449">
            <v>45.5267</v>
          </cell>
        </row>
        <row r="450">
          <cell r="A450" t="str">
            <v>pi.005</v>
          </cell>
          <cell r="D450">
            <v>130.7333</v>
          </cell>
        </row>
        <row r="451">
          <cell r="A451" t="str">
            <v>pi.006</v>
          </cell>
          <cell r="D451">
            <v>39.1567</v>
          </cell>
        </row>
        <row r="452">
          <cell r="A452" t="str">
            <v>pi.010</v>
          </cell>
          <cell r="D452">
            <v>156.7433</v>
          </cell>
        </row>
        <row r="453">
          <cell r="A453" t="str">
            <v>pi.011</v>
          </cell>
          <cell r="D453">
            <v>163.395</v>
          </cell>
        </row>
        <row r="454">
          <cell r="A454" t="str">
            <v>pi.012</v>
          </cell>
          <cell r="D454">
            <v>119.21</v>
          </cell>
        </row>
        <row r="455">
          <cell r="A455" t="str">
            <v>pi.015</v>
          </cell>
          <cell r="D455">
            <v>29.35</v>
          </cell>
        </row>
        <row r="456">
          <cell r="A456" t="str">
            <v>pi.016</v>
          </cell>
          <cell r="D456">
            <v>10.8733</v>
          </cell>
        </row>
        <row r="457">
          <cell r="A457" t="str">
            <v>pi.017</v>
          </cell>
          <cell r="D457">
            <v>38.115</v>
          </cell>
        </row>
        <row r="458">
          <cell r="A458" t="str">
            <v>pi.018</v>
          </cell>
          <cell r="D458">
            <v>411.3433</v>
          </cell>
        </row>
        <row r="459">
          <cell r="A459" t="str">
            <v>pi.019</v>
          </cell>
          <cell r="D459">
            <v>10.86</v>
          </cell>
        </row>
        <row r="460">
          <cell r="A460" t="str">
            <v>pi.020</v>
          </cell>
          <cell r="D460">
            <v>16.58</v>
          </cell>
        </row>
        <row r="461">
          <cell r="A461" t="str">
            <v>pi.022</v>
          </cell>
          <cell r="D461">
            <v>5.12</v>
          </cell>
        </row>
        <row r="462">
          <cell r="A462" t="str">
            <v>pi.025</v>
          </cell>
          <cell r="D462">
            <v>31.7833</v>
          </cell>
        </row>
        <row r="463">
          <cell r="A463" t="str">
            <v>pi.030</v>
          </cell>
          <cell r="D463">
            <v>15.88</v>
          </cell>
        </row>
        <row r="464">
          <cell r="A464" t="str">
            <v>pi.031</v>
          </cell>
          <cell r="D464">
            <v>30.8667</v>
          </cell>
        </row>
        <row r="465">
          <cell r="A465" t="str">
            <v>pi.032</v>
          </cell>
          <cell r="D465">
            <v>17.08</v>
          </cell>
        </row>
        <row r="466">
          <cell r="A466" t="str">
            <v>pi.033</v>
          </cell>
          <cell r="D466">
            <v>1.44</v>
          </cell>
        </row>
        <row r="467">
          <cell r="A467" t="str">
            <v>pi.034</v>
          </cell>
          <cell r="D467">
            <v>26.02</v>
          </cell>
        </row>
        <row r="468">
          <cell r="A468" t="str">
            <v>pi.035</v>
          </cell>
          <cell r="D468">
            <v>7.83</v>
          </cell>
        </row>
        <row r="469">
          <cell r="A469" t="str">
            <v>pi.037</v>
          </cell>
          <cell r="D469">
            <v>27.85</v>
          </cell>
        </row>
        <row r="470">
          <cell r="A470" t="str">
            <v>pi.038</v>
          </cell>
          <cell r="D470">
            <v>33.45</v>
          </cell>
        </row>
        <row r="471">
          <cell r="A471" t="str">
            <v>pi.039</v>
          </cell>
          <cell r="D471">
            <v>27.98</v>
          </cell>
        </row>
        <row r="472">
          <cell r="A472" t="str">
            <v>pi.040</v>
          </cell>
          <cell r="D472">
            <v>20.75</v>
          </cell>
        </row>
        <row r="473">
          <cell r="A473" t="str">
            <v>pi.041</v>
          </cell>
          <cell r="D473">
            <v>40.5</v>
          </cell>
        </row>
        <row r="474">
          <cell r="A474" t="str">
            <v>pi.042</v>
          </cell>
          <cell r="D474">
            <v>367.0367</v>
          </cell>
        </row>
        <row r="475">
          <cell r="A475" t="str">
            <v>pi.043</v>
          </cell>
          <cell r="D475">
            <v>170.6633</v>
          </cell>
        </row>
        <row r="476">
          <cell r="A476" t="str">
            <v>pi.044</v>
          </cell>
          <cell r="D476">
            <v>139.87</v>
          </cell>
        </row>
        <row r="477">
          <cell r="A477" t="str">
            <v>pl.001</v>
          </cell>
          <cell r="D477">
            <v>45.04</v>
          </cell>
        </row>
        <row r="478">
          <cell r="A478" t="str">
            <v>pl.002</v>
          </cell>
          <cell r="D478">
            <v>48.68</v>
          </cell>
        </row>
        <row r="479">
          <cell r="A479" t="str">
            <v>pre.010</v>
          </cell>
          <cell r="D479">
            <v>107.435</v>
          </cell>
        </row>
        <row r="480">
          <cell r="A480" t="str">
            <v>pre.030</v>
          </cell>
          <cell r="D480">
            <v>177.275</v>
          </cell>
        </row>
        <row r="481">
          <cell r="A481" t="str">
            <v>pre.040</v>
          </cell>
          <cell r="D481">
            <v>207.5</v>
          </cell>
        </row>
        <row r="482">
          <cell r="A482" t="str">
            <v>pre.050</v>
          </cell>
          <cell r="D482">
            <v>497.77</v>
          </cell>
        </row>
        <row r="483">
          <cell r="A483" t="str">
            <v>pre.055</v>
          </cell>
          <cell r="D483">
            <v>719.01</v>
          </cell>
        </row>
        <row r="484">
          <cell r="A484" t="str">
            <v>pre.100</v>
          </cell>
          <cell r="D484">
            <v>1016.53</v>
          </cell>
        </row>
        <row r="485">
          <cell r="A485" t="str">
            <v>ra.016</v>
          </cell>
          <cell r="D485">
            <v>3.4433</v>
          </cell>
        </row>
        <row r="486">
          <cell r="A486" t="str">
            <v>ra.020</v>
          </cell>
          <cell r="D486">
            <v>14.04</v>
          </cell>
        </row>
        <row r="487">
          <cell r="A487" t="str">
            <v>ra.020b</v>
          </cell>
          <cell r="D487">
            <v>9.87</v>
          </cell>
        </row>
        <row r="488">
          <cell r="A488" t="str">
            <v>ra.024</v>
          </cell>
          <cell r="D488">
            <v>23.54</v>
          </cell>
        </row>
        <row r="489">
          <cell r="A489" t="str">
            <v>ra.024b</v>
          </cell>
          <cell r="D489">
            <v>14.39</v>
          </cell>
        </row>
        <row r="490">
          <cell r="A490" t="str">
            <v>ra.025</v>
          </cell>
          <cell r="D490">
            <v>33.6</v>
          </cell>
        </row>
        <row r="491">
          <cell r="A491" t="str">
            <v>ra.025b</v>
          </cell>
          <cell r="D491">
            <v>19.55</v>
          </cell>
        </row>
        <row r="492">
          <cell r="A492" t="str">
            <v>ra.026</v>
          </cell>
          <cell r="D492">
            <v>49.76</v>
          </cell>
        </row>
        <row r="493">
          <cell r="A493" t="str">
            <v>ra.026b</v>
          </cell>
          <cell r="D493">
            <v>28.58</v>
          </cell>
        </row>
        <row r="494">
          <cell r="A494" t="str">
            <v>ra.027</v>
          </cell>
          <cell r="D494">
            <v>60.77</v>
          </cell>
        </row>
        <row r="495">
          <cell r="A495" t="str">
            <v>ra.028</v>
          </cell>
          <cell r="D495">
            <v>33.27</v>
          </cell>
        </row>
        <row r="496">
          <cell r="A496" t="str">
            <v>ra.028b</v>
          </cell>
          <cell r="D496">
            <v>50.36</v>
          </cell>
        </row>
        <row r="497">
          <cell r="A497" t="str">
            <v>ra.029</v>
          </cell>
          <cell r="D497">
            <v>74.09</v>
          </cell>
        </row>
        <row r="498">
          <cell r="A498" t="str">
            <v>ra.029b</v>
          </cell>
          <cell r="D498">
            <v>117.78</v>
          </cell>
        </row>
        <row r="499">
          <cell r="A499" t="str">
            <v>ra.030</v>
          </cell>
          <cell r="D499">
            <v>60.14</v>
          </cell>
        </row>
        <row r="500">
          <cell r="A500" t="str">
            <v>ra.030b</v>
          </cell>
          <cell r="D500">
            <v>94.98</v>
          </cell>
        </row>
        <row r="501">
          <cell r="A501" t="str">
            <v>ra.032</v>
          </cell>
          <cell r="D501">
            <v>103.6</v>
          </cell>
        </row>
        <row r="502">
          <cell r="A502" t="str">
            <v>ra.032b</v>
          </cell>
          <cell r="D502">
            <v>75.59</v>
          </cell>
        </row>
        <row r="503">
          <cell r="A503" t="str">
            <v>ra.034</v>
          </cell>
          <cell r="D503">
            <v>686.29</v>
          </cell>
        </row>
        <row r="504">
          <cell r="A504" t="str">
            <v>ra.036</v>
          </cell>
          <cell r="D504">
            <v>92.64</v>
          </cell>
        </row>
        <row r="505">
          <cell r="A505" t="str">
            <v>ra.037</v>
          </cell>
          <cell r="D505">
            <v>98.24</v>
          </cell>
        </row>
        <row r="506">
          <cell r="A506" t="str">
            <v>ra.100</v>
          </cell>
          <cell r="D506">
            <v>318.26</v>
          </cell>
        </row>
        <row r="507">
          <cell r="A507" t="str">
            <v>ra.101</v>
          </cell>
          <cell r="D507">
            <v>367.14</v>
          </cell>
        </row>
        <row r="508">
          <cell r="A508" t="str">
            <v>ra.102</v>
          </cell>
          <cell r="D508">
            <v>585.17</v>
          </cell>
        </row>
        <row r="509">
          <cell r="A509" t="str">
            <v>ra.103</v>
          </cell>
          <cell r="D509">
            <v>718.13</v>
          </cell>
        </row>
        <row r="510">
          <cell r="A510" t="str">
            <v>ra.104</v>
          </cell>
          <cell r="D510">
            <v>885.65</v>
          </cell>
        </row>
        <row r="511">
          <cell r="A511" t="str">
            <v>ra.105</v>
          </cell>
          <cell r="D511">
            <v>1274.58</v>
          </cell>
        </row>
        <row r="512">
          <cell r="A512" t="str">
            <v>rc.010</v>
          </cell>
          <cell r="D512">
            <v>842.05</v>
          </cell>
        </row>
        <row r="513">
          <cell r="A513" t="str">
            <v>rc.020</v>
          </cell>
          <cell r="D513">
            <v>60.28</v>
          </cell>
        </row>
        <row r="514">
          <cell r="A514" t="str">
            <v>re.005</v>
          </cell>
          <cell r="D514">
            <v>2435</v>
          </cell>
        </row>
        <row r="515">
          <cell r="A515" t="str">
            <v>re.010</v>
          </cell>
          <cell r="D515">
            <v>2362</v>
          </cell>
        </row>
        <row r="516">
          <cell r="A516" t="str">
            <v>re.015</v>
          </cell>
          <cell r="D516">
            <v>12313</v>
          </cell>
        </row>
        <row r="517">
          <cell r="A517" t="str">
            <v>re.020</v>
          </cell>
          <cell r="D517">
            <v>10703</v>
          </cell>
        </row>
        <row r="518">
          <cell r="A518" t="str">
            <v>re.025</v>
          </cell>
          <cell r="D518">
            <v>305</v>
          </cell>
        </row>
        <row r="519">
          <cell r="A519" t="str">
            <v>re.026</v>
          </cell>
          <cell r="D519">
            <v>186</v>
          </cell>
        </row>
        <row r="520">
          <cell r="A520" t="str">
            <v>re.030</v>
          </cell>
          <cell r="D520">
            <v>339.785</v>
          </cell>
        </row>
        <row r="521">
          <cell r="A521" t="str">
            <v>re.035</v>
          </cell>
          <cell r="D521">
            <v>52.675</v>
          </cell>
        </row>
        <row r="522">
          <cell r="A522" t="str">
            <v>re.040</v>
          </cell>
          <cell r="D522">
            <v>16.61</v>
          </cell>
        </row>
        <row r="523">
          <cell r="A523" t="str">
            <v>re.043</v>
          </cell>
          <cell r="D523">
            <v>7.07</v>
          </cell>
        </row>
        <row r="524">
          <cell r="A524" t="str">
            <v>re.045</v>
          </cell>
          <cell r="D524">
            <v>46.17</v>
          </cell>
        </row>
        <row r="525">
          <cell r="A525" t="str">
            <v>re.050</v>
          </cell>
          <cell r="D525">
            <v>33.945</v>
          </cell>
        </row>
        <row r="526">
          <cell r="A526" t="str">
            <v>re.055</v>
          </cell>
          <cell r="D526">
            <v>44.295</v>
          </cell>
        </row>
        <row r="527">
          <cell r="A527" t="str">
            <v>re.060</v>
          </cell>
          <cell r="D527">
            <v>48162.28</v>
          </cell>
        </row>
        <row r="528">
          <cell r="A528" t="str">
            <v>re.065</v>
          </cell>
          <cell r="D528">
            <v>1308.9</v>
          </cell>
        </row>
        <row r="529">
          <cell r="A529" t="str">
            <v>re.070</v>
          </cell>
          <cell r="D529">
            <v>96.36</v>
          </cell>
        </row>
        <row r="530">
          <cell r="A530" t="str">
            <v>re.075</v>
          </cell>
          <cell r="D530">
            <v>535.79</v>
          </cell>
        </row>
        <row r="531">
          <cell r="A531" t="str">
            <v>re.080</v>
          </cell>
          <cell r="D531">
            <v>81.99</v>
          </cell>
        </row>
        <row r="532">
          <cell r="A532" t="str">
            <v>re.090</v>
          </cell>
          <cell r="D532">
            <v>1260.33</v>
          </cell>
        </row>
        <row r="533">
          <cell r="A533" t="str">
            <v>re.095</v>
          </cell>
          <cell r="D533">
            <v>1086.985</v>
          </cell>
        </row>
        <row r="534">
          <cell r="A534" t="str">
            <v>re.100</v>
          </cell>
          <cell r="D534">
            <v>561.98</v>
          </cell>
        </row>
        <row r="535">
          <cell r="A535" t="str">
            <v>re.105</v>
          </cell>
          <cell r="D535">
            <v>619.83</v>
          </cell>
        </row>
        <row r="536">
          <cell r="A536" t="str">
            <v>re.110</v>
          </cell>
          <cell r="D536">
            <v>8.805</v>
          </cell>
        </row>
        <row r="537">
          <cell r="A537" t="str">
            <v>re.115</v>
          </cell>
          <cell r="D537">
            <v>63.25</v>
          </cell>
        </row>
        <row r="538">
          <cell r="A538" t="str">
            <v>rg.004</v>
          </cell>
          <cell r="D538">
            <v>30.78</v>
          </cell>
        </row>
        <row r="539">
          <cell r="A539" t="str">
            <v>rg.006</v>
          </cell>
          <cell r="D539">
            <v>30.78</v>
          </cell>
        </row>
        <row r="540">
          <cell r="A540" t="str">
            <v>rg.008</v>
          </cell>
          <cell r="D540">
            <v>3.81</v>
          </cell>
        </row>
        <row r="541">
          <cell r="A541" t="str">
            <v>rg.018</v>
          </cell>
          <cell r="D541">
            <v>15.45</v>
          </cell>
        </row>
        <row r="542">
          <cell r="A542" t="str">
            <v>rg.020</v>
          </cell>
          <cell r="D542">
            <v>24.56</v>
          </cell>
        </row>
        <row r="543">
          <cell r="A543" t="str">
            <v>rg.026</v>
          </cell>
          <cell r="D543">
            <v>85.55</v>
          </cell>
        </row>
        <row r="544">
          <cell r="A544" t="str">
            <v>rg.028</v>
          </cell>
          <cell r="D544">
            <v>67.53</v>
          </cell>
        </row>
        <row r="545">
          <cell r="A545" t="str">
            <v>rg.030</v>
          </cell>
          <cell r="D545">
            <v>67.53</v>
          </cell>
        </row>
        <row r="546">
          <cell r="A546" t="str">
            <v>rv.010</v>
          </cell>
          <cell r="D546">
            <v>60.33</v>
          </cell>
        </row>
        <row r="547">
          <cell r="A547" t="str">
            <v>rv.016</v>
          </cell>
          <cell r="D547">
            <v>646.2667</v>
          </cell>
        </row>
        <row r="548">
          <cell r="A548" t="str">
            <v>rv.017</v>
          </cell>
          <cell r="D548">
            <v>838.6633</v>
          </cell>
        </row>
        <row r="549">
          <cell r="A549" t="str">
            <v>rv.018</v>
          </cell>
          <cell r="D549">
            <v>1022.13</v>
          </cell>
        </row>
        <row r="550">
          <cell r="A550" t="str">
            <v>rv.019</v>
          </cell>
          <cell r="D550">
            <v>426.63</v>
          </cell>
        </row>
        <row r="551">
          <cell r="A551" t="str">
            <v>rv.020</v>
          </cell>
          <cell r="D551">
            <v>5.2767</v>
          </cell>
        </row>
        <row r="552">
          <cell r="A552" t="str">
            <v>rv.021</v>
          </cell>
          <cell r="D552">
            <v>690.84</v>
          </cell>
        </row>
        <row r="553">
          <cell r="A553" t="str">
            <v>rv.022</v>
          </cell>
          <cell r="D553">
            <v>137.78</v>
          </cell>
        </row>
        <row r="554">
          <cell r="A554" t="str">
            <v>rv.024</v>
          </cell>
          <cell r="D554">
            <v>114.11</v>
          </cell>
        </row>
        <row r="555">
          <cell r="A555" t="str">
            <v>rv.025</v>
          </cell>
          <cell r="D555">
            <v>2977.99</v>
          </cell>
        </row>
        <row r="556">
          <cell r="A556" t="str">
            <v>rv.026</v>
          </cell>
          <cell r="D556">
            <v>2641.03</v>
          </cell>
        </row>
        <row r="557">
          <cell r="A557" t="str">
            <v>rv.027</v>
          </cell>
          <cell r="D557">
            <v>2526.36</v>
          </cell>
        </row>
        <row r="558">
          <cell r="A558" t="str">
            <v>rv.028</v>
          </cell>
          <cell r="D558">
            <v>2857.94</v>
          </cell>
        </row>
        <row r="559">
          <cell r="A559" t="str">
            <v>rv.029</v>
          </cell>
          <cell r="D559">
            <v>2900</v>
          </cell>
        </row>
        <row r="560">
          <cell r="A560" t="str">
            <v>rv.030</v>
          </cell>
          <cell r="D560">
            <v>0.14</v>
          </cell>
        </row>
        <row r="561">
          <cell r="A561" t="str">
            <v>rv.031</v>
          </cell>
          <cell r="D561">
            <v>74.38</v>
          </cell>
        </row>
        <row r="562">
          <cell r="A562" t="str">
            <v>rv.032</v>
          </cell>
          <cell r="D562">
            <v>3934.27</v>
          </cell>
        </row>
        <row r="563">
          <cell r="A563" t="str">
            <v>rv.033</v>
          </cell>
          <cell r="D563">
            <v>82000</v>
          </cell>
        </row>
        <row r="564">
          <cell r="A564" t="str">
            <v>rv.034</v>
          </cell>
          <cell r="D564">
            <v>13322.31</v>
          </cell>
        </row>
        <row r="565">
          <cell r="A565" t="str">
            <v>rv.035</v>
          </cell>
          <cell r="D565">
            <v>1454.55</v>
          </cell>
        </row>
        <row r="566">
          <cell r="A566" t="str">
            <v>rv.036</v>
          </cell>
          <cell r="D566">
            <v>102152.38</v>
          </cell>
        </row>
        <row r="567">
          <cell r="A567" t="str">
            <v>rv.037</v>
          </cell>
          <cell r="D567">
            <v>159.2</v>
          </cell>
        </row>
        <row r="568">
          <cell r="A568" t="str">
            <v>rv.038</v>
          </cell>
          <cell r="D568">
            <v>241.78</v>
          </cell>
        </row>
        <row r="569">
          <cell r="A569" t="str">
            <v>rv.038b</v>
          </cell>
          <cell r="D569">
            <v>121</v>
          </cell>
        </row>
        <row r="570">
          <cell r="A570" t="str">
            <v>rv.039</v>
          </cell>
          <cell r="D570">
            <v>9.26</v>
          </cell>
        </row>
        <row r="571">
          <cell r="A571" t="str">
            <v>rv.040</v>
          </cell>
          <cell r="D571">
            <v>115</v>
          </cell>
        </row>
        <row r="572">
          <cell r="A572" t="str">
            <v>sa.001</v>
          </cell>
          <cell r="D572">
            <v>38</v>
          </cell>
        </row>
        <row r="573">
          <cell r="A573" t="str">
            <v>sa.001b</v>
          </cell>
          <cell r="D573">
            <v>23.92</v>
          </cell>
        </row>
        <row r="574">
          <cell r="A574" t="str">
            <v>sa.002</v>
          </cell>
          <cell r="D574">
            <v>32.23</v>
          </cell>
        </row>
        <row r="575">
          <cell r="A575" t="str">
            <v>sa.002b</v>
          </cell>
          <cell r="D575">
            <v>19.895</v>
          </cell>
        </row>
        <row r="576">
          <cell r="A576" t="str">
            <v>sa.003</v>
          </cell>
          <cell r="D576">
            <v>11.8433</v>
          </cell>
        </row>
        <row r="577">
          <cell r="A577" t="str">
            <v>sa.004</v>
          </cell>
          <cell r="D577">
            <v>10.1633</v>
          </cell>
        </row>
        <row r="578">
          <cell r="A578" t="str">
            <v>sa.005</v>
          </cell>
          <cell r="D578">
            <v>29.22</v>
          </cell>
        </row>
        <row r="579">
          <cell r="A579" t="str">
            <v>sa.005b</v>
          </cell>
          <cell r="D579">
            <v>21.4467</v>
          </cell>
        </row>
        <row r="580">
          <cell r="A580" t="str">
            <v>sa.006</v>
          </cell>
          <cell r="D580">
            <v>34.77</v>
          </cell>
        </row>
        <row r="581">
          <cell r="A581" t="str">
            <v>sa.006b</v>
          </cell>
          <cell r="D581">
            <v>21.0167</v>
          </cell>
        </row>
        <row r="582">
          <cell r="A582" t="str">
            <v>sa.007</v>
          </cell>
          <cell r="D582">
            <v>7</v>
          </cell>
        </row>
        <row r="583">
          <cell r="A583" t="str">
            <v>sa.007b</v>
          </cell>
          <cell r="D583">
            <v>4.2967</v>
          </cell>
        </row>
        <row r="584">
          <cell r="A584" t="str">
            <v>sa.008</v>
          </cell>
          <cell r="D584">
            <v>7.49</v>
          </cell>
        </row>
        <row r="585">
          <cell r="A585" t="str">
            <v>sa.008b</v>
          </cell>
          <cell r="D585">
            <v>4.9333</v>
          </cell>
        </row>
        <row r="586">
          <cell r="A586" t="str">
            <v>sa.009</v>
          </cell>
          <cell r="D586">
            <v>3.79</v>
          </cell>
        </row>
        <row r="587">
          <cell r="A587" t="str">
            <v>sa.009b</v>
          </cell>
          <cell r="D587">
            <v>2.3533</v>
          </cell>
        </row>
        <row r="588">
          <cell r="A588" t="str">
            <v>sa.010</v>
          </cell>
          <cell r="D588">
            <v>5.24</v>
          </cell>
        </row>
        <row r="589">
          <cell r="A589" t="str">
            <v>sa.010b</v>
          </cell>
          <cell r="D589">
            <v>3.3267</v>
          </cell>
        </row>
        <row r="590">
          <cell r="A590" t="str">
            <v>sa.011</v>
          </cell>
          <cell r="D590">
            <v>8.0233</v>
          </cell>
        </row>
        <row r="591">
          <cell r="A591" t="str">
            <v>sa.012</v>
          </cell>
          <cell r="D591">
            <v>7.9</v>
          </cell>
        </row>
        <row r="592">
          <cell r="A592" t="str">
            <v>sa.014</v>
          </cell>
          <cell r="D592">
            <v>23.56</v>
          </cell>
        </row>
        <row r="593">
          <cell r="A593" t="str">
            <v>sa.015</v>
          </cell>
          <cell r="D593">
            <v>304.98</v>
          </cell>
        </row>
        <row r="594">
          <cell r="A594" t="str">
            <v>sa.016</v>
          </cell>
          <cell r="D594">
            <v>101.48</v>
          </cell>
        </row>
        <row r="595">
          <cell r="A595" t="str">
            <v>sa.017</v>
          </cell>
          <cell r="D595">
            <v>214.88</v>
          </cell>
        </row>
        <row r="596">
          <cell r="A596" t="str">
            <v>sa.018</v>
          </cell>
          <cell r="D596">
            <v>216.22</v>
          </cell>
        </row>
        <row r="597">
          <cell r="A597" t="str">
            <v>sa.019</v>
          </cell>
          <cell r="D597">
            <v>148.375</v>
          </cell>
        </row>
        <row r="598">
          <cell r="A598" t="str">
            <v>sa.020</v>
          </cell>
          <cell r="D598">
            <v>217.87</v>
          </cell>
        </row>
        <row r="599">
          <cell r="A599" t="str">
            <v>sa.021</v>
          </cell>
          <cell r="D599">
            <v>306.93</v>
          </cell>
        </row>
        <row r="600">
          <cell r="A600" t="str">
            <v>sa.025</v>
          </cell>
          <cell r="D600">
            <v>29.06</v>
          </cell>
        </row>
        <row r="601">
          <cell r="A601" t="str">
            <v>sa.026</v>
          </cell>
          <cell r="D601">
            <v>22.31</v>
          </cell>
        </row>
        <row r="602">
          <cell r="A602" t="str">
            <v>sa.027</v>
          </cell>
          <cell r="D602">
            <v>35.54</v>
          </cell>
        </row>
        <row r="603">
          <cell r="A603" t="str">
            <v>sa.028</v>
          </cell>
          <cell r="D603">
            <v>45.45</v>
          </cell>
        </row>
        <row r="604">
          <cell r="A604" t="str">
            <v>sa.029</v>
          </cell>
          <cell r="D604">
            <v>25.635</v>
          </cell>
        </row>
        <row r="605">
          <cell r="A605" t="str">
            <v>sa.030</v>
          </cell>
          <cell r="D605">
            <v>9.12</v>
          </cell>
        </row>
        <row r="606">
          <cell r="A606" t="str">
            <v>sa.031</v>
          </cell>
          <cell r="D606">
            <v>3.9</v>
          </cell>
        </row>
        <row r="607">
          <cell r="A607" t="str">
            <v>sa.059</v>
          </cell>
          <cell r="D607">
            <v>48.3167</v>
          </cell>
        </row>
        <row r="608">
          <cell r="A608" t="str">
            <v>sa.060</v>
          </cell>
          <cell r="D608">
            <v>2.995</v>
          </cell>
        </row>
        <row r="609">
          <cell r="A609" t="str">
            <v>sa.061</v>
          </cell>
          <cell r="D609">
            <v>5.065</v>
          </cell>
        </row>
        <row r="610">
          <cell r="A610" t="str">
            <v>sa.070</v>
          </cell>
          <cell r="D610">
            <v>8.08</v>
          </cell>
        </row>
        <row r="611">
          <cell r="A611" t="str">
            <v>sa.071</v>
          </cell>
          <cell r="D611">
            <v>11.545</v>
          </cell>
        </row>
        <row r="612">
          <cell r="A612" t="str">
            <v>sa.086</v>
          </cell>
          <cell r="D612">
            <v>17.36</v>
          </cell>
        </row>
        <row r="613">
          <cell r="A613" t="str">
            <v>sa.086b</v>
          </cell>
          <cell r="D613">
            <v>11.53</v>
          </cell>
        </row>
        <row r="614">
          <cell r="A614" t="str">
            <v>sa.087</v>
          </cell>
          <cell r="D614">
            <v>20.54</v>
          </cell>
        </row>
        <row r="615">
          <cell r="A615" t="str">
            <v>sa.087b</v>
          </cell>
          <cell r="D615">
            <v>12.1433</v>
          </cell>
        </row>
        <row r="616">
          <cell r="A616" t="str">
            <v>sa.088</v>
          </cell>
          <cell r="D616">
            <v>24.22</v>
          </cell>
        </row>
        <row r="617">
          <cell r="A617" t="str">
            <v>sa.088b</v>
          </cell>
          <cell r="D617">
            <v>14.8867</v>
          </cell>
        </row>
        <row r="618">
          <cell r="A618" t="str">
            <v>sa.089</v>
          </cell>
          <cell r="D618">
            <v>28.73</v>
          </cell>
        </row>
        <row r="619">
          <cell r="A619" t="str">
            <v>sa.089b</v>
          </cell>
          <cell r="D619">
            <v>17.4925</v>
          </cell>
        </row>
        <row r="620">
          <cell r="A620" t="str">
            <v>sa.090</v>
          </cell>
          <cell r="D620">
            <v>34.36</v>
          </cell>
        </row>
        <row r="621">
          <cell r="A621" t="str">
            <v>sa.090b</v>
          </cell>
          <cell r="D621">
            <v>22.2925</v>
          </cell>
        </row>
        <row r="622">
          <cell r="A622" t="str">
            <v>sa.107</v>
          </cell>
          <cell r="D622">
            <v>1.51</v>
          </cell>
        </row>
        <row r="623">
          <cell r="A623" t="str">
            <v>sa.108</v>
          </cell>
          <cell r="D623">
            <v>1.815</v>
          </cell>
        </row>
        <row r="624">
          <cell r="A624" t="str">
            <v>sa.109</v>
          </cell>
          <cell r="D624">
            <v>3.98</v>
          </cell>
        </row>
        <row r="625">
          <cell r="A625" t="str">
            <v>sa.111</v>
          </cell>
          <cell r="D625">
            <v>7.015</v>
          </cell>
        </row>
        <row r="626">
          <cell r="A626" t="str">
            <v>sa.112</v>
          </cell>
          <cell r="D626">
            <v>104.75</v>
          </cell>
        </row>
        <row r="627">
          <cell r="A627" t="str">
            <v>sa.139</v>
          </cell>
          <cell r="D627">
            <v>2.505</v>
          </cell>
        </row>
        <row r="628">
          <cell r="A628" t="str">
            <v>sa.145</v>
          </cell>
          <cell r="D628">
            <v>33.65</v>
          </cell>
        </row>
        <row r="629">
          <cell r="A629" t="str">
            <v>sa.150</v>
          </cell>
          <cell r="D629">
            <v>45.28</v>
          </cell>
        </row>
        <row r="630">
          <cell r="A630" t="str">
            <v>sa.169</v>
          </cell>
          <cell r="D630">
            <v>29.95</v>
          </cell>
        </row>
        <row r="631">
          <cell r="A631" t="str">
            <v>sa.190</v>
          </cell>
          <cell r="D631">
            <v>4.57</v>
          </cell>
        </row>
        <row r="632">
          <cell r="A632" t="str">
            <v>sa.194</v>
          </cell>
          <cell r="D632">
            <v>0.73</v>
          </cell>
        </row>
        <row r="633">
          <cell r="A633" t="str">
            <v>sa.195</v>
          </cell>
          <cell r="D633">
            <v>0.8</v>
          </cell>
        </row>
        <row r="634">
          <cell r="A634" t="str">
            <v>sa.200</v>
          </cell>
          <cell r="D634">
            <v>2.425</v>
          </cell>
        </row>
        <row r="635">
          <cell r="A635" t="str">
            <v>sa.201</v>
          </cell>
          <cell r="D635">
            <v>1.535</v>
          </cell>
        </row>
        <row r="636">
          <cell r="A636" t="str">
            <v>sa.202</v>
          </cell>
          <cell r="D636">
            <v>4.745</v>
          </cell>
        </row>
        <row r="637">
          <cell r="A637" t="str">
            <v>sa.205</v>
          </cell>
          <cell r="D637">
            <v>161.16</v>
          </cell>
        </row>
        <row r="638">
          <cell r="A638" t="str">
            <v>sa.210</v>
          </cell>
          <cell r="D638">
            <v>107.4333</v>
          </cell>
        </row>
        <row r="639">
          <cell r="A639" t="str">
            <v>sa.220</v>
          </cell>
          <cell r="D639">
            <v>18.4</v>
          </cell>
        </row>
        <row r="640">
          <cell r="A640" t="str">
            <v>sa.221</v>
          </cell>
          <cell r="D640">
            <v>19.165</v>
          </cell>
        </row>
        <row r="641">
          <cell r="A641" t="str">
            <v>sa.223</v>
          </cell>
          <cell r="D641">
            <v>259.74</v>
          </cell>
        </row>
        <row r="642">
          <cell r="A642" t="str">
            <v>sa.235</v>
          </cell>
          <cell r="D642">
            <v>10.05</v>
          </cell>
        </row>
        <row r="643">
          <cell r="A643" t="str">
            <v>sa.236</v>
          </cell>
          <cell r="D643">
            <v>374.66</v>
          </cell>
        </row>
        <row r="644">
          <cell r="A644" t="str">
            <v>sa.237</v>
          </cell>
          <cell r="D644">
            <v>395.025</v>
          </cell>
        </row>
        <row r="645">
          <cell r="A645" t="str">
            <v>sa.238</v>
          </cell>
          <cell r="D645">
            <v>349.295</v>
          </cell>
        </row>
        <row r="646">
          <cell r="A646" t="str">
            <v>sa.239</v>
          </cell>
          <cell r="D646">
            <v>478.27</v>
          </cell>
        </row>
        <row r="647">
          <cell r="A647" t="str">
            <v>sa.243</v>
          </cell>
          <cell r="D647">
            <v>26.99</v>
          </cell>
        </row>
        <row r="648">
          <cell r="A648" t="str">
            <v>sa.244</v>
          </cell>
          <cell r="D648">
            <v>36.67</v>
          </cell>
        </row>
        <row r="649">
          <cell r="A649" t="str">
            <v>sa.247</v>
          </cell>
          <cell r="D649">
            <v>40.17</v>
          </cell>
        </row>
        <row r="650">
          <cell r="A650" t="str">
            <v>sa.248</v>
          </cell>
          <cell r="D650">
            <v>67.41</v>
          </cell>
        </row>
        <row r="651">
          <cell r="A651" t="str">
            <v>sa.249</v>
          </cell>
          <cell r="D651">
            <v>74.7</v>
          </cell>
        </row>
        <row r="652">
          <cell r="A652" t="str">
            <v>sa.265</v>
          </cell>
          <cell r="D652">
            <v>34.45</v>
          </cell>
        </row>
        <row r="653">
          <cell r="A653" t="str">
            <v>sa.270</v>
          </cell>
          <cell r="D653">
            <v>36.855</v>
          </cell>
        </row>
        <row r="654">
          <cell r="A654" t="str">
            <v>sa.271</v>
          </cell>
          <cell r="D654">
            <v>51.595</v>
          </cell>
        </row>
        <row r="655">
          <cell r="A655" t="str">
            <v>sa.283</v>
          </cell>
          <cell r="D655">
            <v>12.67</v>
          </cell>
        </row>
        <row r="656">
          <cell r="A656" t="str">
            <v>sa.284</v>
          </cell>
          <cell r="D656">
            <v>39.705</v>
          </cell>
        </row>
        <row r="657">
          <cell r="A657" t="str">
            <v>sa.285</v>
          </cell>
          <cell r="D657">
            <v>553.62</v>
          </cell>
        </row>
        <row r="658">
          <cell r="A658" t="str">
            <v>sa.287</v>
          </cell>
          <cell r="D658">
            <v>19.47</v>
          </cell>
        </row>
        <row r="659">
          <cell r="A659" t="str">
            <v>sa.288</v>
          </cell>
          <cell r="D659">
            <v>8.685</v>
          </cell>
        </row>
        <row r="660">
          <cell r="A660" t="str">
            <v>sa.291</v>
          </cell>
          <cell r="D660">
            <v>438.02</v>
          </cell>
        </row>
        <row r="661">
          <cell r="A661" t="str">
            <v>sa.292</v>
          </cell>
          <cell r="D661">
            <v>404.96</v>
          </cell>
        </row>
        <row r="662">
          <cell r="A662" t="str">
            <v>sa.293</v>
          </cell>
          <cell r="D662">
            <v>429.75</v>
          </cell>
        </row>
        <row r="663">
          <cell r="A663" t="str">
            <v>sa.295</v>
          </cell>
          <cell r="D663">
            <v>719.01</v>
          </cell>
        </row>
        <row r="664">
          <cell r="A664" t="str">
            <v>sa.296</v>
          </cell>
          <cell r="D664">
            <v>1289.26</v>
          </cell>
        </row>
        <row r="665">
          <cell r="A665" t="str">
            <v>sa.297</v>
          </cell>
          <cell r="D665">
            <v>1322.31</v>
          </cell>
        </row>
        <row r="666">
          <cell r="A666" t="str">
            <v>sa.298</v>
          </cell>
          <cell r="D666">
            <v>20.66</v>
          </cell>
        </row>
        <row r="667">
          <cell r="A667" t="str">
            <v>sa.299</v>
          </cell>
          <cell r="D667">
            <v>528.93</v>
          </cell>
        </row>
        <row r="668">
          <cell r="A668" t="str">
            <v>sa.300</v>
          </cell>
          <cell r="D668">
            <v>16.1967</v>
          </cell>
        </row>
        <row r="669">
          <cell r="A669" t="str">
            <v>sa.310</v>
          </cell>
          <cell r="D669">
            <v>55.35</v>
          </cell>
        </row>
        <row r="670">
          <cell r="A670" t="str">
            <v>sa.321</v>
          </cell>
          <cell r="D670">
            <v>6.75</v>
          </cell>
        </row>
        <row r="671">
          <cell r="A671" t="str">
            <v>sa.322</v>
          </cell>
          <cell r="D671">
            <v>8.77</v>
          </cell>
        </row>
        <row r="672">
          <cell r="A672" t="str">
            <v>sa.323</v>
          </cell>
          <cell r="D672">
            <v>4.83</v>
          </cell>
        </row>
        <row r="673">
          <cell r="A673" t="str">
            <v>sa.324</v>
          </cell>
          <cell r="D673">
            <v>6.415</v>
          </cell>
        </row>
        <row r="674">
          <cell r="A674" t="str">
            <v>sa.325</v>
          </cell>
          <cell r="D674">
            <v>4.37</v>
          </cell>
        </row>
        <row r="675">
          <cell r="A675" t="str">
            <v>sa.328</v>
          </cell>
          <cell r="D675">
            <v>1.1</v>
          </cell>
        </row>
        <row r="676">
          <cell r="A676" t="str">
            <v>sa.329</v>
          </cell>
          <cell r="D676">
            <v>1.45</v>
          </cell>
        </row>
        <row r="677">
          <cell r="A677" t="str">
            <v>sa.330</v>
          </cell>
          <cell r="D677">
            <v>3.7</v>
          </cell>
        </row>
        <row r="678">
          <cell r="A678" t="str">
            <v>sa.331</v>
          </cell>
          <cell r="D678">
            <v>4.74</v>
          </cell>
        </row>
        <row r="679">
          <cell r="A679" t="str">
            <v>sa.333</v>
          </cell>
          <cell r="D679">
            <v>0.59</v>
          </cell>
        </row>
        <row r="680">
          <cell r="A680" t="str">
            <v>sa.334</v>
          </cell>
          <cell r="D680">
            <v>0.85</v>
          </cell>
        </row>
        <row r="681">
          <cell r="A681" t="str">
            <v>sa.335</v>
          </cell>
          <cell r="D681">
            <v>13.21</v>
          </cell>
        </row>
        <row r="682">
          <cell r="A682" t="str">
            <v>sa.336</v>
          </cell>
          <cell r="D682">
            <v>2.95</v>
          </cell>
        </row>
        <row r="683">
          <cell r="A683" t="str">
            <v>sa.337</v>
          </cell>
          <cell r="D683">
            <v>4.74</v>
          </cell>
        </row>
        <row r="684">
          <cell r="A684" t="str">
            <v>sa.338</v>
          </cell>
          <cell r="D684">
            <v>5.26</v>
          </cell>
        </row>
        <row r="685">
          <cell r="A685" t="str">
            <v>sa.339</v>
          </cell>
          <cell r="D685">
            <v>1.42</v>
          </cell>
        </row>
        <row r="686">
          <cell r="A686" t="str">
            <v>sa.340</v>
          </cell>
          <cell r="D686">
            <v>2.24</v>
          </cell>
        </row>
        <row r="687">
          <cell r="A687" t="str">
            <v>sa.341</v>
          </cell>
          <cell r="D687">
            <v>14.78</v>
          </cell>
        </row>
        <row r="688">
          <cell r="A688" t="str">
            <v>sa.342</v>
          </cell>
          <cell r="D688">
            <v>21.4</v>
          </cell>
        </row>
        <row r="689">
          <cell r="A689" t="str">
            <v>sa.346</v>
          </cell>
          <cell r="D689">
            <v>25.97</v>
          </cell>
        </row>
        <row r="690">
          <cell r="A690" t="str">
            <v>sa.349</v>
          </cell>
          <cell r="D690">
            <v>19.04</v>
          </cell>
        </row>
        <row r="691">
          <cell r="A691" t="str">
            <v>sa.350</v>
          </cell>
          <cell r="D691">
            <v>15.1</v>
          </cell>
        </row>
        <row r="692">
          <cell r="A692" t="str">
            <v>sa.351</v>
          </cell>
          <cell r="D692">
            <v>14.88</v>
          </cell>
        </row>
        <row r="693">
          <cell r="A693" t="str">
            <v>sa.352</v>
          </cell>
          <cell r="D693">
            <v>59.24</v>
          </cell>
        </row>
        <row r="694">
          <cell r="A694" t="str">
            <v>sa.353</v>
          </cell>
          <cell r="D694">
            <v>168.52</v>
          </cell>
        </row>
        <row r="695">
          <cell r="A695" t="str">
            <v>sa.354</v>
          </cell>
          <cell r="D695">
            <v>52.32</v>
          </cell>
        </row>
        <row r="696">
          <cell r="A696" t="str">
            <v>sa.357</v>
          </cell>
          <cell r="D696">
            <v>14.95</v>
          </cell>
        </row>
        <row r="697">
          <cell r="A697" t="str">
            <v>sa.361</v>
          </cell>
          <cell r="D697">
            <v>2.83</v>
          </cell>
        </row>
        <row r="698">
          <cell r="A698" t="str">
            <v>sa.362</v>
          </cell>
          <cell r="D698">
            <v>15.31</v>
          </cell>
        </row>
        <row r="699">
          <cell r="A699" t="str">
            <v>sa.363</v>
          </cell>
          <cell r="D699">
            <v>4.24</v>
          </cell>
        </row>
        <row r="700">
          <cell r="A700" t="str">
            <v>sa.364</v>
          </cell>
          <cell r="D700">
            <v>1.36</v>
          </cell>
        </row>
        <row r="701">
          <cell r="A701" t="str">
            <v>sa.366</v>
          </cell>
          <cell r="D701">
            <v>40.59</v>
          </cell>
        </row>
        <row r="702">
          <cell r="A702" t="str">
            <v>sa.367</v>
          </cell>
          <cell r="D702">
            <v>4.25</v>
          </cell>
        </row>
        <row r="703">
          <cell r="A703" t="str">
            <v>sa.368</v>
          </cell>
          <cell r="D703">
            <v>11.16</v>
          </cell>
        </row>
        <row r="704">
          <cell r="A704" t="str">
            <v>sa.369</v>
          </cell>
          <cell r="D704">
            <v>2.36</v>
          </cell>
        </row>
        <row r="705">
          <cell r="A705" t="str">
            <v>sa.370</v>
          </cell>
          <cell r="D705">
            <v>89.59</v>
          </cell>
        </row>
        <row r="706">
          <cell r="A706" t="str">
            <v>sa.372</v>
          </cell>
          <cell r="D706">
            <v>40.59</v>
          </cell>
        </row>
        <row r="707">
          <cell r="A707" t="str">
            <v>sa.700</v>
          </cell>
          <cell r="D707">
            <v>853.46</v>
          </cell>
        </row>
        <row r="708">
          <cell r="A708" t="str">
            <v>sa.900</v>
          </cell>
          <cell r="D708">
            <v>1004.02</v>
          </cell>
        </row>
        <row r="709">
          <cell r="A709" t="str">
            <v>so.003</v>
          </cell>
          <cell r="D709">
            <v>38.02</v>
          </cell>
        </row>
        <row r="710">
          <cell r="A710" t="str">
            <v>so.004</v>
          </cell>
          <cell r="D710">
            <v>54.55</v>
          </cell>
        </row>
        <row r="711">
          <cell r="A711" t="str">
            <v>so.005</v>
          </cell>
          <cell r="D711">
            <v>74.38</v>
          </cell>
        </row>
        <row r="712">
          <cell r="A712" t="str">
            <v>so.006</v>
          </cell>
          <cell r="D712">
            <v>38.02</v>
          </cell>
        </row>
        <row r="713">
          <cell r="A713" t="str">
            <v>so.009</v>
          </cell>
          <cell r="D713">
            <v>44.22</v>
          </cell>
        </row>
        <row r="714">
          <cell r="A714" t="str">
            <v>so.010</v>
          </cell>
          <cell r="D714">
            <v>19.01</v>
          </cell>
        </row>
        <row r="715">
          <cell r="A715" t="str">
            <v>so.011</v>
          </cell>
          <cell r="D715">
            <v>17.36</v>
          </cell>
        </row>
        <row r="716">
          <cell r="A716" t="str">
            <v>so.012</v>
          </cell>
          <cell r="D716">
            <v>14.88</v>
          </cell>
        </row>
        <row r="717">
          <cell r="A717" t="str">
            <v>so.013</v>
          </cell>
          <cell r="D717">
            <v>14.88</v>
          </cell>
        </row>
        <row r="718">
          <cell r="A718" t="str">
            <v>so.014</v>
          </cell>
          <cell r="D718">
            <v>16.53</v>
          </cell>
        </row>
        <row r="719">
          <cell r="A719" t="str">
            <v>so.015</v>
          </cell>
          <cell r="D719">
            <v>47.93</v>
          </cell>
        </row>
        <row r="720">
          <cell r="A720" t="str">
            <v>so.016</v>
          </cell>
          <cell r="D720">
            <v>29.755</v>
          </cell>
        </row>
        <row r="721">
          <cell r="A721" t="str">
            <v>so.030</v>
          </cell>
          <cell r="D721">
            <v>36.1</v>
          </cell>
        </row>
        <row r="722">
          <cell r="A722" t="str">
            <v>te.002</v>
          </cell>
          <cell r="D722">
            <v>3.85</v>
          </cell>
        </row>
        <row r="723">
          <cell r="A723" t="str">
            <v>te.003</v>
          </cell>
          <cell r="D723">
            <v>3.57</v>
          </cell>
        </row>
        <row r="724">
          <cell r="A724" t="str">
            <v>vi.001</v>
          </cell>
          <cell r="D724">
            <v>83.8867</v>
          </cell>
        </row>
        <row r="725">
          <cell r="A725" t="str">
            <v>vi.002</v>
          </cell>
          <cell r="D725">
            <v>128.9267</v>
          </cell>
        </row>
        <row r="726">
          <cell r="A726" t="str">
            <v>vi.003</v>
          </cell>
          <cell r="D726">
            <v>70.0167</v>
          </cell>
        </row>
        <row r="727">
          <cell r="A727" t="str">
            <v>vi.004</v>
          </cell>
          <cell r="D727">
            <v>76.96</v>
          </cell>
        </row>
        <row r="728">
          <cell r="A728" t="str">
            <v>vi.006</v>
          </cell>
          <cell r="D728">
            <v>138.325</v>
          </cell>
        </row>
        <row r="729">
          <cell r="A729" t="str">
            <v>vi.007</v>
          </cell>
          <cell r="D729">
            <v>200.205</v>
          </cell>
        </row>
        <row r="730">
          <cell r="A730" t="str">
            <v>vi.008</v>
          </cell>
          <cell r="D730">
            <v>423.83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</sheetNames>
    <sheetDataSet>
      <sheetData sheetId="0">
        <row r="2">
          <cell r="A2" t="str">
            <v>ac.002</v>
          </cell>
          <cell r="D2">
            <v>563.84</v>
          </cell>
        </row>
        <row r="3">
          <cell r="A3" t="str">
            <v>ac.009</v>
          </cell>
          <cell r="D3">
            <v>10.43</v>
          </cell>
        </row>
        <row r="4">
          <cell r="A4" t="str">
            <v>ac.010</v>
          </cell>
          <cell r="D4">
            <v>9.98</v>
          </cell>
        </row>
        <row r="5">
          <cell r="A5" t="str">
            <v>ac.011</v>
          </cell>
          <cell r="D5">
            <v>10.56</v>
          </cell>
        </row>
        <row r="6">
          <cell r="A6" t="str">
            <v>ac.012</v>
          </cell>
          <cell r="D6">
            <v>9.8833</v>
          </cell>
        </row>
        <row r="7">
          <cell r="A7" t="str">
            <v>ac.013</v>
          </cell>
          <cell r="D7">
            <v>9.5333</v>
          </cell>
        </row>
        <row r="8">
          <cell r="A8" t="str">
            <v>ac.014</v>
          </cell>
          <cell r="D8">
            <v>9.9933</v>
          </cell>
        </row>
        <row r="9">
          <cell r="A9" t="str">
            <v>ac.015</v>
          </cell>
          <cell r="D9">
            <v>9.3933</v>
          </cell>
        </row>
        <row r="10">
          <cell r="A10" t="str">
            <v>ac.016</v>
          </cell>
          <cell r="D10">
            <v>10041.8</v>
          </cell>
        </row>
        <row r="11">
          <cell r="A11" t="str">
            <v>ac.029</v>
          </cell>
          <cell r="D11">
            <v>30.21</v>
          </cell>
        </row>
        <row r="12">
          <cell r="A12" t="str">
            <v>ac.030</v>
          </cell>
          <cell r="D12">
            <v>16.6955</v>
          </cell>
        </row>
        <row r="13">
          <cell r="A13" t="str">
            <v>ac.034</v>
          </cell>
          <cell r="D13">
            <v>18.6167</v>
          </cell>
        </row>
        <row r="14">
          <cell r="A14" t="str">
            <v>ac.040</v>
          </cell>
          <cell r="D14">
            <v>15.6414</v>
          </cell>
        </row>
        <row r="15">
          <cell r="A15" t="str">
            <v>ac.050</v>
          </cell>
          <cell r="D15">
            <v>13.52</v>
          </cell>
        </row>
        <row r="16">
          <cell r="A16" t="str">
            <v>ac.051</v>
          </cell>
          <cell r="D16">
            <v>12.7367</v>
          </cell>
        </row>
        <row r="17">
          <cell r="A17" t="str">
            <v>ac.052</v>
          </cell>
          <cell r="D17">
            <v>15.8667</v>
          </cell>
        </row>
        <row r="18">
          <cell r="A18" t="str">
            <v>ac.053</v>
          </cell>
          <cell r="D18">
            <v>28.155</v>
          </cell>
        </row>
        <row r="19">
          <cell r="A19" t="str">
            <v>ac.060</v>
          </cell>
          <cell r="D19">
            <v>42.675</v>
          </cell>
        </row>
        <row r="20">
          <cell r="A20" t="str">
            <v>ac.061</v>
          </cell>
          <cell r="D20">
            <v>11.9433</v>
          </cell>
        </row>
        <row r="21">
          <cell r="A21" t="str">
            <v>ac.062</v>
          </cell>
          <cell r="D21">
            <v>12.34</v>
          </cell>
        </row>
        <row r="22">
          <cell r="A22" t="str">
            <v>ac.070</v>
          </cell>
          <cell r="D22">
            <v>0.9301</v>
          </cell>
        </row>
        <row r="23">
          <cell r="A23" t="str">
            <v>ac.071</v>
          </cell>
          <cell r="D23">
            <v>1.0433</v>
          </cell>
        </row>
        <row r="24">
          <cell r="A24" t="str">
            <v>ac.072</v>
          </cell>
          <cell r="D24">
            <v>19.56</v>
          </cell>
        </row>
        <row r="25">
          <cell r="A25" t="str">
            <v>ac.073</v>
          </cell>
          <cell r="D25">
            <v>63.49</v>
          </cell>
        </row>
        <row r="26">
          <cell r="A26" t="str">
            <v>ac.080</v>
          </cell>
          <cell r="D26">
            <v>4.4167</v>
          </cell>
        </row>
        <row r="27">
          <cell r="A27" t="str">
            <v>ac.081</v>
          </cell>
          <cell r="D27">
            <v>4.6467</v>
          </cell>
        </row>
        <row r="28">
          <cell r="A28" t="str">
            <v>ac.089</v>
          </cell>
          <cell r="D28">
            <v>1.99</v>
          </cell>
        </row>
        <row r="29">
          <cell r="A29" t="str">
            <v>ac.090</v>
          </cell>
          <cell r="D29">
            <v>5.625</v>
          </cell>
        </row>
        <row r="30">
          <cell r="A30" t="str">
            <v>ac.091</v>
          </cell>
          <cell r="D30">
            <v>26.35</v>
          </cell>
        </row>
        <row r="31">
          <cell r="A31" t="str">
            <v>ac.092</v>
          </cell>
          <cell r="D31">
            <v>1.1851</v>
          </cell>
        </row>
        <row r="32">
          <cell r="A32" t="str">
            <v>ac.093</v>
          </cell>
          <cell r="D32">
            <v>11646.32</v>
          </cell>
        </row>
        <row r="33">
          <cell r="A33" t="str">
            <v>ac.093b</v>
          </cell>
          <cell r="D33">
            <v>26015</v>
          </cell>
        </row>
        <row r="34">
          <cell r="A34" t="str">
            <v>ac.100</v>
          </cell>
          <cell r="D34">
            <v>9.44</v>
          </cell>
        </row>
        <row r="35">
          <cell r="A35" t="str">
            <v>ac.101</v>
          </cell>
          <cell r="D35">
            <v>9.48</v>
          </cell>
        </row>
        <row r="36">
          <cell r="A36" t="str">
            <v>ac.102</v>
          </cell>
          <cell r="D36">
            <v>27.8367</v>
          </cell>
        </row>
        <row r="37">
          <cell r="A37" t="str">
            <v>ac.103</v>
          </cell>
          <cell r="D37">
            <v>48.89</v>
          </cell>
        </row>
        <row r="38">
          <cell r="A38" t="str">
            <v>ac.104</v>
          </cell>
          <cell r="D38">
            <v>110.5533</v>
          </cell>
        </row>
        <row r="39">
          <cell r="A39" t="str">
            <v>ac.105</v>
          </cell>
          <cell r="D39">
            <v>192.4467</v>
          </cell>
        </row>
        <row r="40">
          <cell r="A40" t="str">
            <v>ac.106</v>
          </cell>
          <cell r="D40">
            <v>82.62</v>
          </cell>
        </row>
        <row r="41">
          <cell r="A41" t="str">
            <v>ac.107</v>
          </cell>
          <cell r="D41">
            <v>45</v>
          </cell>
        </row>
        <row r="42">
          <cell r="A42" t="str">
            <v>ac.108</v>
          </cell>
          <cell r="D42">
            <v>11.1</v>
          </cell>
        </row>
        <row r="43">
          <cell r="A43" t="str">
            <v>ac.109</v>
          </cell>
          <cell r="D43">
            <v>18.175</v>
          </cell>
        </row>
        <row r="44">
          <cell r="A44" t="str">
            <v>ac.110</v>
          </cell>
          <cell r="D44">
            <v>6.605</v>
          </cell>
        </row>
        <row r="45">
          <cell r="A45" t="str">
            <v>ac.111</v>
          </cell>
          <cell r="D45">
            <v>3.4549</v>
          </cell>
        </row>
        <row r="46">
          <cell r="A46" t="str">
            <v>ac.116</v>
          </cell>
          <cell r="D46">
            <v>15.97</v>
          </cell>
        </row>
        <row r="47">
          <cell r="A47" t="str">
            <v>ac.117</v>
          </cell>
          <cell r="D47">
            <v>21.37</v>
          </cell>
        </row>
        <row r="48">
          <cell r="A48" t="str">
            <v>ac.118</v>
          </cell>
          <cell r="D48">
            <v>34.08</v>
          </cell>
        </row>
        <row r="49">
          <cell r="A49" t="str">
            <v>ac.119</v>
          </cell>
          <cell r="D49">
            <v>10.7667</v>
          </cell>
        </row>
        <row r="50">
          <cell r="A50" t="str">
            <v>ac.120</v>
          </cell>
          <cell r="D50">
            <v>35.62</v>
          </cell>
        </row>
        <row r="51">
          <cell r="A51" t="str">
            <v>ac.121</v>
          </cell>
          <cell r="D51">
            <v>26.215</v>
          </cell>
        </row>
        <row r="52">
          <cell r="A52" t="str">
            <v>ac.122</v>
          </cell>
          <cell r="D52">
            <v>5.8167</v>
          </cell>
        </row>
        <row r="53">
          <cell r="A53" t="str">
            <v>ac.123</v>
          </cell>
          <cell r="D53">
            <v>8.9433</v>
          </cell>
        </row>
        <row r="54">
          <cell r="A54" t="str">
            <v>ac.124</v>
          </cell>
          <cell r="D54">
            <v>7.11</v>
          </cell>
        </row>
        <row r="55">
          <cell r="A55" t="str">
            <v>ac.125</v>
          </cell>
          <cell r="D55">
            <v>14.64</v>
          </cell>
        </row>
        <row r="56">
          <cell r="A56" t="str">
            <v>ac.200</v>
          </cell>
          <cell r="D56">
            <v>26.07</v>
          </cell>
        </row>
        <row r="57">
          <cell r="A57" t="str">
            <v>ac.201</v>
          </cell>
          <cell r="D57">
            <v>17.15</v>
          </cell>
        </row>
        <row r="58">
          <cell r="A58" t="str">
            <v>ac.500</v>
          </cell>
          <cell r="D58">
            <v>13.6567</v>
          </cell>
        </row>
        <row r="59">
          <cell r="A59" t="str">
            <v>ad.001</v>
          </cell>
          <cell r="D59">
            <v>11.225</v>
          </cell>
        </row>
        <row r="60">
          <cell r="A60" t="str">
            <v>ad.002</v>
          </cell>
          <cell r="D60">
            <v>10.005</v>
          </cell>
        </row>
        <row r="61">
          <cell r="A61" t="str">
            <v>ai.002</v>
          </cell>
          <cell r="D61">
            <v>38.11</v>
          </cell>
        </row>
        <row r="62">
          <cell r="A62" t="str">
            <v>ai.004</v>
          </cell>
          <cell r="D62">
            <v>6.6233</v>
          </cell>
        </row>
        <row r="63">
          <cell r="A63" t="str">
            <v>ai.005</v>
          </cell>
          <cell r="D63">
            <v>27.9993</v>
          </cell>
        </row>
        <row r="64">
          <cell r="A64" t="str">
            <v>ai.006</v>
          </cell>
          <cell r="D64">
            <v>22.86</v>
          </cell>
        </row>
        <row r="65">
          <cell r="A65" t="str">
            <v>ai.007</v>
          </cell>
          <cell r="D65">
            <v>9.16</v>
          </cell>
        </row>
        <row r="66">
          <cell r="A66" t="str">
            <v>ai.009</v>
          </cell>
          <cell r="D66">
            <v>2.35</v>
          </cell>
        </row>
        <row r="67">
          <cell r="A67" t="str">
            <v>ai.010</v>
          </cell>
          <cell r="D67">
            <v>5.69</v>
          </cell>
        </row>
        <row r="68">
          <cell r="A68" t="str">
            <v>ai.011</v>
          </cell>
          <cell r="D68">
            <v>32.93</v>
          </cell>
        </row>
        <row r="69">
          <cell r="A69" t="str">
            <v>ai.012</v>
          </cell>
          <cell r="D69">
            <v>7.105</v>
          </cell>
        </row>
        <row r="70">
          <cell r="A70" t="str">
            <v>ai.014</v>
          </cell>
          <cell r="D70">
            <v>16.9639</v>
          </cell>
        </row>
        <row r="71">
          <cell r="A71" t="str">
            <v>ai.017</v>
          </cell>
          <cell r="D71">
            <v>4.3</v>
          </cell>
        </row>
        <row r="72">
          <cell r="A72" t="str">
            <v>ai.018</v>
          </cell>
          <cell r="D72">
            <v>8.3882</v>
          </cell>
        </row>
        <row r="73">
          <cell r="A73" t="str">
            <v>ai.055</v>
          </cell>
          <cell r="D73">
            <v>33.4539</v>
          </cell>
        </row>
        <row r="74">
          <cell r="A74" t="str">
            <v>ai.060</v>
          </cell>
          <cell r="D74">
            <v>177.37</v>
          </cell>
        </row>
        <row r="75">
          <cell r="A75" t="str">
            <v>ar.001</v>
          </cell>
          <cell r="D75">
            <v>141.805</v>
          </cell>
        </row>
        <row r="76">
          <cell r="A76" t="str">
            <v>ar.002</v>
          </cell>
          <cell r="D76">
            <v>144</v>
          </cell>
        </row>
        <row r="77">
          <cell r="A77" t="str">
            <v>ar.003</v>
          </cell>
          <cell r="D77">
            <v>126.06</v>
          </cell>
        </row>
        <row r="78">
          <cell r="A78" t="str">
            <v>ar.004</v>
          </cell>
          <cell r="D78">
            <v>142.07</v>
          </cell>
        </row>
        <row r="79">
          <cell r="A79" t="str">
            <v>ar.005</v>
          </cell>
          <cell r="D79">
            <v>119.485</v>
          </cell>
        </row>
        <row r="80">
          <cell r="A80" t="str">
            <v>ar.006</v>
          </cell>
          <cell r="D80">
            <v>155.9867</v>
          </cell>
        </row>
        <row r="81">
          <cell r="A81" t="str">
            <v>ar.007</v>
          </cell>
          <cell r="D81">
            <v>130.86</v>
          </cell>
        </row>
        <row r="82">
          <cell r="A82" t="str">
            <v>ar.008</v>
          </cell>
          <cell r="D82">
            <v>132.5635</v>
          </cell>
        </row>
        <row r="83">
          <cell r="A83" t="str">
            <v>ar.009</v>
          </cell>
          <cell r="D83">
            <v>129.14</v>
          </cell>
        </row>
        <row r="84">
          <cell r="A84" t="str">
            <v>ar.010</v>
          </cell>
          <cell r="D84">
            <v>157.115</v>
          </cell>
        </row>
        <row r="85">
          <cell r="A85" t="str">
            <v>ar.012</v>
          </cell>
          <cell r="D85">
            <v>138.91</v>
          </cell>
        </row>
        <row r="86">
          <cell r="A86" t="str">
            <v>ar.013</v>
          </cell>
          <cell r="D86">
            <v>145.195</v>
          </cell>
        </row>
        <row r="87">
          <cell r="A87" t="str">
            <v>az.001</v>
          </cell>
          <cell r="D87">
            <v>54.35</v>
          </cell>
        </row>
        <row r="88">
          <cell r="A88" t="str">
            <v>bl.002</v>
          </cell>
          <cell r="D88">
            <v>11.57</v>
          </cell>
        </row>
        <row r="89">
          <cell r="A89" t="str">
            <v>bl.003</v>
          </cell>
          <cell r="D89">
            <v>35.5616</v>
          </cell>
        </row>
        <row r="90">
          <cell r="A90" t="str">
            <v>bl.004</v>
          </cell>
          <cell r="D90">
            <v>7.85</v>
          </cell>
        </row>
        <row r="91">
          <cell r="A91" t="str">
            <v>bl.005</v>
          </cell>
          <cell r="D91">
            <v>30.615</v>
          </cell>
        </row>
        <row r="92">
          <cell r="A92" t="str">
            <v>bl.006</v>
          </cell>
          <cell r="D92">
            <v>35.76</v>
          </cell>
        </row>
        <row r="93">
          <cell r="A93" t="str">
            <v>bz.001</v>
          </cell>
          <cell r="D93">
            <v>232</v>
          </cell>
        </row>
        <row r="94">
          <cell r="A94" t="str">
            <v>bz.002</v>
          </cell>
          <cell r="D94">
            <v>228.5304</v>
          </cell>
        </row>
        <row r="95">
          <cell r="A95" t="str">
            <v>ca.001</v>
          </cell>
          <cell r="D95">
            <v>2312.44</v>
          </cell>
        </row>
        <row r="96">
          <cell r="A96" t="str">
            <v>ca.003</v>
          </cell>
          <cell r="D96">
            <v>96.64</v>
          </cell>
        </row>
        <row r="97">
          <cell r="A97" t="str">
            <v>ca.008</v>
          </cell>
          <cell r="D97">
            <v>635.31</v>
          </cell>
        </row>
        <row r="98">
          <cell r="A98" t="str">
            <v>ca.013</v>
          </cell>
          <cell r="D98">
            <v>2538.13</v>
          </cell>
        </row>
        <row r="99">
          <cell r="A99" t="str">
            <v>ca.013b</v>
          </cell>
          <cell r="D99">
            <v>871.59</v>
          </cell>
        </row>
        <row r="100">
          <cell r="A100" t="str">
            <v>ca.020</v>
          </cell>
          <cell r="D100">
            <v>2228.21</v>
          </cell>
        </row>
        <row r="101">
          <cell r="A101" t="str">
            <v>ca.030</v>
          </cell>
          <cell r="D101">
            <v>2500.33</v>
          </cell>
        </row>
        <row r="102">
          <cell r="A102" t="str">
            <v>ca.102</v>
          </cell>
          <cell r="D102">
            <v>2317</v>
          </cell>
        </row>
        <row r="103">
          <cell r="A103" t="str">
            <v>ca.103</v>
          </cell>
          <cell r="D103">
            <v>2052</v>
          </cell>
        </row>
        <row r="104">
          <cell r="A104" t="str">
            <v>ca.104</v>
          </cell>
          <cell r="D104">
            <v>2425</v>
          </cell>
        </row>
        <row r="105">
          <cell r="A105" t="str">
            <v>ca.107</v>
          </cell>
          <cell r="D105">
            <v>435</v>
          </cell>
        </row>
        <row r="106">
          <cell r="A106" t="str">
            <v>ca.108</v>
          </cell>
          <cell r="D106">
            <v>463</v>
          </cell>
        </row>
        <row r="107">
          <cell r="A107" t="str">
            <v>ca.109</v>
          </cell>
          <cell r="D107">
            <v>1647</v>
          </cell>
        </row>
        <row r="108">
          <cell r="A108" t="str">
            <v>ca.110</v>
          </cell>
          <cell r="D108">
            <v>301</v>
          </cell>
        </row>
        <row r="109">
          <cell r="A109" t="str">
            <v>ca.111</v>
          </cell>
          <cell r="D109">
            <v>297</v>
          </cell>
        </row>
        <row r="110">
          <cell r="A110" t="str">
            <v>ca.112</v>
          </cell>
          <cell r="D110">
            <v>293</v>
          </cell>
        </row>
        <row r="111">
          <cell r="A111" t="str">
            <v>ca.113</v>
          </cell>
          <cell r="D111">
            <v>1285</v>
          </cell>
        </row>
        <row r="112">
          <cell r="A112" t="str">
            <v>ca.114</v>
          </cell>
          <cell r="D112">
            <v>2232.66</v>
          </cell>
        </row>
        <row r="113">
          <cell r="A113" t="str">
            <v>ch.002</v>
          </cell>
          <cell r="D113">
            <v>170.25</v>
          </cell>
        </row>
        <row r="114">
          <cell r="A114" t="str">
            <v>ch.004</v>
          </cell>
          <cell r="D114">
            <v>11.585</v>
          </cell>
        </row>
        <row r="115">
          <cell r="A115" t="str">
            <v>ch.006</v>
          </cell>
          <cell r="D115">
            <v>195.85</v>
          </cell>
        </row>
        <row r="116">
          <cell r="A116" t="str">
            <v>ch.010</v>
          </cell>
          <cell r="D116">
            <v>11.7333</v>
          </cell>
        </row>
        <row r="117">
          <cell r="A117" t="str">
            <v>ch.011</v>
          </cell>
          <cell r="D117">
            <v>40.84</v>
          </cell>
        </row>
        <row r="118">
          <cell r="A118" t="str">
            <v>ch.012</v>
          </cell>
          <cell r="D118">
            <v>248.1167</v>
          </cell>
        </row>
        <row r="119">
          <cell r="A119" t="str">
            <v>ch.013</v>
          </cell>
          <cell r="D119">
            <v>111.5067</v>
          </cell>
        </row>
        <row r="120">
          <cell r="A120" t="str">
            <v>ch.020</v>
          </cell>
          <cell r="D120">
            <v>19.7</v>
          </cell>
        </row>
        <row r="121">
          <cell r="A121" t="str">
            <v>ch.021</v>
          </cell>
          <cell r="D121">
            <v>26.82</v>
          </cell>
        </row>
        <row r="122">
          <cell r="A122" t="str">
            <v>ch.030</v>
          </cell>
          <cell r="D122">
            <v>182.665</v>
          </cell>
        </row>
        <row r="123">
          <cell r="A123" t="str">
            <v>ch.031</v>
          </cell>
          <cell r="D123">
            <v>154.63</v>
          </cell>
        </row>
        <row r="124">
          <cell r="A124" t="str">
            <v>ch.032</v>
          </cell>
          <cell r="D124">
            <v>18.345</v>
          </cell>
        </row>
        <row r="125">
          <cell r="A125" t="str">
            <v>ch.033</v>
          </cell>
          <cell r="D125">
            <v>94.79</v>
          </cell>
        </row>
        <row r="126">
          <cell r="A126" t="str">
            <v>ch.035</v>
          </cell>
          <cell r="D126">
            <v>411.17</v>
          </cell>
        </row>
        <row r="127">
          <cell r="A127" t="str">
            <v>ch.036</v>
          </cell>
          <cell r="D127">
            <v>130.395</v>
          </cell>
        </row>
        <row r="128">
          <cell r="A128" t="str">
            <v>ch.037</v>
          </cell>
          <cell r="D128">
            <v>395.32</v>
          </cell>
        </row>
        <row r="129">
          <cell r="A129" t="str">
            <v>ch.038</v>
          </cell>
          <cell r="D129">
            <v>237.76</v>
          </cell>
        </row>
        <row r="130">
          <cell r="A130" t="str">
            <v>ch.039</v>
          </cell>
          <cell r="D130">
            <v>234.59</v>
          </cell>
        </row>
        <row r="131">
          <cell r="A131" t="str">
            <v>ch.040</v>
          </cell>
          <cell r="D131">
            <v>19.5163</v>
          </cell>
        </row>
        <row r="132">
          <cell r="A132" t="str">
            <v>el.009</v>
          </cell>
          <cell r="D132">
            <v>2.9018</v>
          </cell>
        </row>
        <row r="133">
          <cell r="A133" t="str">
            <v>el.010</v>
          </cell>
          <cell r="D133">
            <v>595.04</v>
          </cell>
        </row>
        <row r="134">
          <cell r="A134" t="str">
            <v>el.011</v>
          </cell>
          <cell r="D134">
            <v>785.12</v>
          </cell>
        </row>
        <row r="135">
          <cell r="A135" t="str">
            <v>el.020</v>
          </cell>
          <cell r="D135">
            <v>71.2733</v>
          </cell>
        </row>
        <row r="136">
          <cell r="A136" t="str">
            <v>el.021</v>
          </cell>
          <cell r="D136">
            <v>153.13</v>
          </cell>
        </row>
        <row r="137">
          <cell r="A137" t="str">
            <v>el.022</v>
          </cell>
          <cell r="D137">
            <v>7.4956</v>
          </cell>
        </row>
        <row r="138">
          <cell r="A138" t="str">
            <v>el.023</v>
          </cell>
          <cell r="D138">
            <v>4.1167</v>
          </cell>
        </row>
        <row r="139">
          <cell r="A139" t="str">
            <v>el.024</v>
          </cell>
          <cell r="D139">
            <v>19.99</v>
          </cell>
        </row>
        <row r="140">
          <cell r="A140" t="str">
            <v>el.025</v>
          </cell>
          <cell r="D140">
            <v>40.71</v>
          </cell>
        </row>
        <row r="141">
          <cell r="A141" t="str">
            <v>el.026</v>
          </cell>
          <cell r="D141">
            <v>10.9847</v>
          </cell>
        </row>
        <row r="142">
          <cell r="A142" t="str">
            <v>el.027</v>
          </cell>
          <cell r="D142">
            <v>2.74</v>
          </cell>
        </row>
        <row r="143">
          <cell r="A143" t="str">
            <v>el.028</v>
          </cell>
          <cell r="D143">
            <v>2.5433</v>
          </cell>
        </row>
        <row r="144">
          <cell r="A144" t="str">
            <v>el.029</v>
          </cell>
          <cell r="D144">
            <v>6.57</v>
          </cell>
        </row>
        <row r="145">
          <cell r="A145" t="str">
            <v>el.057</v>
          </cell>
          <cell r="D145">
            <v>4.0301</v>
          </cell>
        </row>
        <row r="146">
          <cell r="A146" t="str">
            <v>el.058</v>
          </cell>
          <cell r="D146">
            <v>1.9537</v>
          </cell>
        </row>
        <row r="147">
          <cell r="A147" t="str">
            <v>el.059</v>
          </cell>
          <cell r="D147">
            <v>7.9502</v>
          </cell>
        </row>
        <row r="148">
          <cell r="A148" t="str">
            <v>el.060</v>
          </cell>
          <cell r="D148">
            <v>4.1</v>
          </cell>
        </row>
        <row r="149">
          <cell r="A149" t="str">
            <v>el.061</v>
          </cell>
          <cell r="D149">
            <v>41.5215</v>
          </cell>
        </row>
        <row r="150">
          <cell r="A150" t="str">
            <v>el.062</v>
          </cell>
          <cell r="D150">
            <v>55.4442</v>
          </cell>
        </row>
        <row r="151">
          <cell r="A151" t="str">
            <v>el.071</v>
          </cell>
          <cell r="D151">
            <v>28.7167</v>
          </cell>
        </row>
        <row r="152">
          <cell r="A152" t="str">
            <v>el.072</v>
          </cell>
          <cell r="D152">
            <v>32.304</v>
          </cell>
        </row>
        <row r="153">
          <cell r="A153" t="str">
            <v>el.073</v>
          </cell>
          <cell r="D153">
            <v>40.8612</v>
          </cell>
        </row>
        <row r="154">
          <cell r="A154" t="str">
            <v>el.075</v>
          </cell>
          <cell r="D154">
            <v>5.9799</v>
          </cell>
        </row>
        <row r="155">
          <cell r="A155" t="str">
            <v>el.076</v>
          </cell>
          <cell r="D155">
            <v>5.172</v>
          </cell>
        </row>
        <row r="156">
          <cell r="A156" t="str">
            <v>el.080</v>
          </cell>
          <cell r="D156">
            <v>2.02</v>
          </cell>
        </row>
        <row r="157">
          <cell r="A157" t="str">
            <v>el.100</v>
          </cell>
          <cell r="D157">
            <v>41.07</v>
          </cell>
        </row>
        <row r="158">
          <cell r="A158" t="str">
            <v>el.101</v>
          </cell>
          <cell r="D158">
            <v>86.615</v>
          </cell>
        </row>
        <row r="159">
          <cell r="A159" t="str">
            <v>el.102</v>
          </cell>
          <cell r="D159">
            <v>356.1237</v>
          </cell>
        </row>
        <row r="160">
          <cell r="A160" t="str">
            <v>el.103</v>
          </cell>
          <cell r="D160">
            <v>113.8</v>
          </cell>
        </row>
        <row r="161">
          <cell r="A161" t="str">
            <v>el.104</v>
          </cell>
          <cell r="D161">
            <v>381.6271</v>
          </cell>
        </row>
        <row r="162">
          <cell r="A162" t="str">
            <v>el.105</v>
          </cell>
          <cell r="D162">
            <v>680.7357</v>
          </cell>
        </row>
        <row r="163">
          <cell r="A163" t="str">
            <v>el.107</v>
          </cell>
          <cell r="D163">
            <v>24.265</v>
          </cell>
        </row>
        <row r="164">
          <cell r="A164" t="str">
            <v>el.108</v>
          </cell>
          <cell r="D164">
            <v>24.035</v>
          </cell>
        </row>
        <row r="165">
          <cell r="A165" t="str">
            <v>el.109</v>
          </cell>
          <cell r="D165">
            <v>28.76</v>
          </cell>
        </row>
        <row r="166">
          <cell r="A166" t="str">
            <v>el.110</v>
          </cell>
          <cell r="D166">
            <v>373.4116</v>
          </cell>
        </row>
        <row r="167">
          <cell r="A167" t="str">
            <v>el.111</v>
          </cell>
          <cell r="D167">
            <v>458.7827</v>
          </cell>
        </row>
        <row r="168">
          <cell r="A168" t="str">
            <v>el.112</v>
          </cell>
          <cell r="D168">
            <v>87.03</v>
          </cell>
        </row>
        <row r="169">
          <cell r="A169" t="str">
            <v>el.113</v>
          </cell>
          <cell r="D169">
            <v>183.8643</v>
          </cell>
        </row>
        <row r="170">
          <cell r="A170" t="str">
            <v>el.114</v>
          </cell>
          <cell r="D170">
            <v>163.8382</v>
          </cell>
        </row>
        <row r="171">
          <cell r="A171" t="str">
            <v>el.115</v>
          </cell>
          <cell r="D171">
            <v>25.7563</v>
          </cell>
        </row>
        <row r="172">
          <cell r="A172" t="str">
            <v>el.149</v>
          </cell>
          <cell r="D172">
            <v>18000</v>
          </cell>
        </row>
        <row r="173">
          <cell r="A173" t="str">
            <v>el.150</v>
          </cell>
          <cell r="D173">
            <v>11.43</v>
          </cell>
        </row>
        <row r="174">
          <cell r="A174" t="str">
            <v>el.151</v>
          </cell>
          <cell r="D174">
            <v>77.71</v>
          </cell>
        </row>
        <row r="175">
          <cell r="A175" t="str">
            <v>el.152</v>
          </cell>
          <cell r="D175">
            <v>164.6733</v>
          </cell>
        </row>
        <row r="176">
          <cell r="A176" t="str">
            <v>el.159</v>
          </cell>
          <cell r="D176">
            <v>3.61</v>
          </cell>
        </row>
        <row r="177">
          <cell r="A177" t="str">
            <v>el.160</v>
          </cell>
          <cell r="D177">
            <v>227.565</v>
          </cell>
        </row>
        <row r="178">
          <cell r="A178" t="str">
            <v>el.160a</v>
          </cell>
          <cell r="D178">
            <v>12.8559</v>
          </cell>
        </row>
        <row r="179">
          <cell r="A179" t="str">
            <v>el.164</v>
          </cell>
          <cell r="D179">
            <v>2.34</v>
          </cell>
        </row>
        <row r="180">
          <cell r="A180" t="str">
            <v>el.165</v>
          </cell>
          <cell r="D180">
            <v>7.2</v>
          </cell>
        </row>
        <row r="181">
          <cell r="A181" t="str">
            <v>el.166</v>
          </cell>
          <cell r="D181">
            <v>10.81</v>
          </cell>
        </row>
        <row r="182">
          <cell r="A182" t="str">
            <v>el.168</v>
          </cell>
          <cell r="D182">
            <v>1.92</v>
          </cell>
        </row>
        <row r="183">
          <cell r="A183" t="str">
            <v>el.170</v>
          </cell>
          <cell r="D183">
            <v>11.12</v>
          </cell>
        </row>
        <row r="184">
          <cell r="A184" t="str">
            <v>el.171</v>
          </cell>
          <cell r="D184">
            <v>2.5532</v>
          </cell>
        </row>
        <row r="185">
          <cell r="A185" t="str">
            <v>el.172</v>
          </cell>
          <cell r="D185">
            <v>4.55</v>
          </cell>
        </row>
        <row r="186">
          <cell r="A186" t="str">
            <v>el.173'</v>
          </cell>
          <cell r="D186">
            <v>17.61</v>
          </cell>
        </row>
        <row r="187">
          <cell r="A187" t="str">
            <v>el.176</v>
          </cell>
          <cell r="D187">
            <v>59.745</v>
          </cell>
        </row>
        <row r="188">
          <cell r="A188" t="str">
            <v>el.177</v>
          </cell>
          <cell r="D188">
            <v>8.935</v>
          </cell>
        </row>
        <row r="189">
          <cell r="A189" t="str">
            <v>el.178</v>
          </cell>
          <cell r="D189">
            <v>4.33</v>
          </cell>
        </row>
        <row r="190">
          <cell r="A190" t="str">
            <v>el.179</v>
          </cell>
          <cell r="D190">
            <v>3.9133</v>
          </cell>
        </row>
        <row r="191">
          <cell r="A191" t="str">
            <v>el.180</v>
          </cell>
          <cell r="D191">
            <v>5.6967</v>
          </cell>
        </row>
        <row r="192">
          <cell r="A192" t="str">
            <v>el.181</v>
          </cell>
          <cell r="D192">
            <v>4.33</v>
          </cell>
        </row>
        <row r="193">
          <cell r="A193" t="str">
            <v>el.182</v>
          </cell>
          <cell r="D193">
            <v>13.2167</v>
          </cell>
        </row>
        <row r="194">
          <cell r="A194" t="str">
            <v>el.183</v>
          </cell>
          <cell r="D194">
            <v>19.81</v>
          </cell>
        </row>
        <row r="195">
          <cell r="A195" t="str">
            <v>el.184</v>
          </cell>
          <cell r="D195">
            <v>3.59</v>
          </cell>
        </row>
        <row r="196">
          <cell r="A196" t="str">
            <v>el.185</v>
          </cell>
          <cell r="D196">
            <v>4.035</v>
          </cell>
        </row>
        <row r="197">
          <cell r="A197" t="str">
            <v>el.186</v>
          </cell>
          <cell r="D197">
            <v>2.36</v>
          </cell>
        </row>
        <row r="198">
          <cell r="A198" t="str">
            <v>el.187</v>
          </cell>
          <cell r="D198">
            <v>3.74</v>
          </cell>
        </row>
        <row r="199">
          <cell r="A199" t="str">
            <v>el.188</v>
          </cell>
          <cell r="D199">
            <v>5.73</v>
          </cell>
        </row>
        <row r="200">
          <cell r="A200" t="str">
            <v>el.189</v>
          </cell>
          <cell r="D200">
            <v>8.49</v>
          </cell>
        </row>
        <row r="201">
          <cell r="A201" t="str">
            <v>el.190</v>
          </cell>
          <cell r="D201">
            <v>16.51</v>
          </cell>
        </row>
        <row r="202">
          <cell r="A202" t="str">
            <v>eq.001</v>
          </cell>
          <cell r="D202">
            <v>565898.8556</v>
          </cell>
        </row>
        <row r="203">
          <cell r="A203" t="str">
            <v>eq.001b</v>
          </cell>
          <cell r="D203">
            <v>546606.33</v>
          </cell>
        </row>
        <row r="204">
          <cell r="A204" t="str">
            <v>eq.002</v>
          </cell>
          <cell r="D204">
            <v>85696.5025</v>
          </cell>
        </row>
        <row r="205">
          <cell r="A205" t="str">
            <v>eq.002b</v>
          </cell>
          <cell r="D205">
            <v>89592.76</v>
          </cell>
        </row>
        <row r="206">
          <cell r="A206" t="str">
            <v>eq.006</v>
          </cell>
          <cell r="D206">
            <v>8.3</v>
          </cell>
        </row>
        <row r="207">
          <cell r="A207" t="str">
            <v>eq.007</v>
          </cell>
          <cell r="D207">
            <v>1055405.3754</v>
          </cell>
        </row>
        <row r="208">
          <cell r="A208" t="str">
            <v>eq.007b</v>
          </cell>
          <cell r="D208">
            <v>861091</v>
          </cell>
        </row>
        <row r="209">
          <cell r="A209" t="str">
            <v>eq.008</v>
          </cell>
          <cell r="D209">
            <v>402.25</v>
          </cell>
        </row>
        <row r="210">
          <cell r="A210" t="str">
            <v>eq.009</v>
          </cell>
          <cell r="D210">
            <v>1610133.1909</v>
          </cell>
        </row>
        <row r="211">
          <cell r="A211" t="str">
            <v>eq.009b</v>
          </cell>
          <cell r="D211">
            <v>2056824</v>
          </cell>
        </row>
        <row r="212">
          <cell r="A212" t="str">
            <v>eq.010</v>
          </cell>
          <cell r="D212">
            <v>623</v>
          </cell>
        </row>
        <row r="213">
          <cell r="A213" t="str">
            <v>eq.011</v>
          </cell>
          <cell r="D213">
            <v>1159176.63</v>
          </cell>
        </row>
        <row r="214">
          <cell r="A214" t="str">
            <v>eq.012</v>
          </cell>
          <cell r="D214">
            <v>501.17</v>
          </cell>
        </row>
        <row r="215">
          <cell r="A215" t="str">
            <v>eq.013</v>
          </cell>
          <cell r="D215">
            <v>1464181.429</v>
          </cell>
        </row>
        <row r="216">
          <cell r="A216" t="str">
            <v>eq.013b</v>
          </cell>
          <cell r="D216">
            <v>1820126</v>
          </cell>
        </row>
        <row r="217">
          <cell r="A217" t="str">
            <v>eq.014</v>
          </cell>
          <cell r="D217">
            <v>486.22</v>
          </cell>
        </row>
        <row r="218">
          <cell r="A218" t="str">
            <v>eq.015</v>
          </cell>
          <cell r="D218">
            <v>886444.17</v>
          </cell>
        </row>
        <row r="219">
          <cell r="A219" t="str">
            <v>eq.016</v>
          </cell>
          <cell r="D219">
            <v>299.78</v>
          </cell>
        </row>
        <row r="220">
          <cell r="A220" t="str">
            <v>eq.017</v>
          </cell>
          <cell r="D220">
            <v>1190048.37</v>
          </cell>
        </row>
        <row r="221">
          <cell r="A221" t="str">
            <v>eq.018</v>
          </cell>
          <cell r="D221">
            <v>419.14</v>
          </cell>
        </row>
        <row r="222">
          <cell r="A222" t="str">
            <v>eq.019</v>
          </cell>
          <cell r="D222">
            <v>1666568.69</v>
          </cell>
        </row>
        <row r="223">
          <cell r="A223" t="str">
            <v>eq.019b</v>
          </cell>
          <cell r="D223">
            <v>925200.15</v>
          </cell>
        </row>
        <row r="224">
          <cell r="A224" t="str">
            <v>eq.020</v>
          </cell>
          <cell r="D224">
            <v>727.26</v>
          </cell>
        </row>
        <row r="225">
          <cell r="A225" t="str">
            <v>eq.021</v>
          </cell>
          <cell r="D225">
            <v>678862.81</v>
          </cell>
        </row>
        <row r="226">
          <cell r="A226" t="str">
            <v>eq.022</v>
          </cell>
          <cell r="D226">
            <v>257.31</v>
          </cell>
        </row>
        <row r="227">
          <cell r="A227" t="str">
            <v>eq.024</v>
          </cell>
          <cell r="D227">
            <v>2309826.3032</v>
          </cell>
        </row>
        <row r="228">
          <cell r="A228" t="str">
            <v>eq.024b</v>
          </cell>
          <cell r="D228">
            <v>4978820</v>
          </cell>
        </row>
        <row r="229">
          <cell r="A229" t="str">
            <v>eq.025</v>
          </cell>
          <cell r="D229">
            <v>690.38</v>
          </cell>
        </row>
        <row r="230">
          <cell r="A230" t="str">
            <v>eq.026</v>
          </cell>
          <cell r="D230">
            <v>21627.1636</v>
          </cell>
        </row>
        <row r="231">
          <cell r="A231" t="str">
            <v>eq.026b</v>
          </cell>
          <cell r="D231">
            <v>27783.45</v>
          </cell>
        </row>
        <row r="232">
          <cell r="A232" t="str">
            <v>eq.028</v>
          </cell>
          <cell r="D232">
            <v>15524.6797</v>
          </cell>
        </row>
        <row r="233">
          <cell r="A233" t="str">
            <v>eq.028b</v>
          </cell>
          <cell r="D233">
            <v>6080.69</v>
          </cell>
        </row>
        <row r="234">
          <cell r="A234" t="str">
            <v>eq.030</v>
          </cell>
          <cell r="D234">
            <v>1961734.3524</v>
          </cell>
        </row>
        <row r="235">
          <cell r="A235" t="str">
            <v>eq.030b</v>
          </cell>
          <cell r="D235">
            <v>221586</v>
          </cell>
        </row>
        <row r="236">
          <cell r="A236" t="str">
            <v>eq.040</v>
          </cell>
          <cell r="D236">
            <v>27517.9935</v>
          </cell>
        </row>
        <row r="237">
          <cell r="A237" t="str">
            <v>eq.040b</v>
          </cell>
          <cell r="D237">
            <v>19833.66</v>
          </cell>
        </row>
        <row r="238">
          <cell r="A238" t="str">
            <v>eq.044</v>
          </cell>
          <cell r="D238">
            <v>44728.1076</v>
          </cell>
        </row>
        <row r="239">
          <cell r="A239" t="str">
            <v>eq.044b</v>
          </cell>
          <cell r="D239">
            <v>85994.83</v>
          </cell>
        </row>
        <row r="240">
          <cell r="A240" t="str">
            <v>eq.048</v>
          </cell>
          <cell r="D240">
            <v>231235.01</v>
          </cell>
        </row>
        <row r="241">
          <cell r="A241" t="str">
            <v>eq.050</v>
          </cell>
          <cell r="D241">
            <v>150805.57</v>
          </cell>
        </row>
        <row r="242">
          <cell r="A242" t="str">
            <v>eq.052</v>
          </cell>
          <cell r="D242">
            <v>170912.81</v>
          </cell>
        </row>
        <row r="243">
          <cell r="A243" t="str">
            <v>eq.054</v>
          </cell>
          <cell r="D243">
            <v>71957.6229</v>
          </cell>
        </row>
        <row r="244">
          <cell r="A244" t="str">
            <v>eq.054b</v>
          </cell>
          <cell r="D244">
            <v>79660.63</v>
          </cell>
        </row>
        <row r="245">
          <cell r="A245" t="str">
            <v>eq.058</v>
          </cell>
          <cell r="D245">
            <v>450952.1423</v>
          </cell>
        </row>
        <row r="246">
          <cell r="A246" t="str">
            <v>eq.058b</v>
          </cell>
          <cell r="D246">
            <v>859764.71</v>
          </cell>
        </row>
        <row r="247">
          <cell r="A247" t="str">
            <v>eq.060</v>
          </cell>
          <cell r="D247">
            <v>27121.9666</v>
          </cell>
        </row>
        <row r="248">
          <cell r="A248" t="str">
            <v>eq.060b</v>
          </cell>
          <cell r="D248">
            <v>20445.81</v>
          </cell>
        </row>
        <row r="249">
          <cell r="A249" t="str">
            <v>eq.062</v>
          </cell>
          <cell r="D249">
            <v>23386.5297</v>
          </cell>
        </row>
        <row r="250">
          <cell r="A250" t="str">
            <v>eq.066</v>
          </cell>
          <cell r="D250">
            <v>147560.7948</v>
          </cell>
        </row>
        <row r="251">
          <cell r="A251" t="str">
            <v>eq.066b</v>
          </cell>
          <cell r="D251">
            <v>183645</v>
          </cell>
        </row>
        <row r="252">
          <cell r="A252" t="str">
            <v>eq.070</v>
          </cell>
          <cell r="D252">
            <v>85003.06</v>
          </cell>
        </row>
        <row r="253">
          <cell r="A253" t="str">
            <v>eq.070b</v>
          </cell>
          <cell r="D253">
            <v>114000</v>
          </cell>
        </row>
        <row r="254">
          <cell r="A254" t="str">
            <v>eq.072</v>
          </cell>
          <cell r="D254">
            <v>240485.8984</v>
          </cell>
        </row>
        <row r="255">
          <cell r="A255" t="str">
            <v>eq.072b</v>
          </cell>
          <cell r="D255">
            <v>278000</v>
          </cell>
        </row>
        <row r="256">
          <cell r="A256" t="str">
            <v>eq.074</v>
          </cell>
          <cell r="D256">
            <v>143413.2215</v>
          </cell>
        </row>
        <row r="257">
          <cell r="A257" t="str">
            <v>eq.074b</v>
          </cell>
          <cell r="D257">
            <v>184000</v>
          </cell>
        </row>
        <row r="258">
          <cell r="A258" t="str">
            <v>eq.076</v>
          </cell>
          <cell r="D258">
            <v>979440</v>
          </cell>
        </row>
        <row r="259">
          <cell r="A259" t="str">
            <v>eq.078</v>
          </cell>
          <cell r="D259">
            <v>213262.44</v>
          </cell>
        </row>
        <row r="260">
          <cell r="A260" t="str">
            <v>eq.080</v>
          </cell>
          <cell r="D260">
            <v>9.5</v>
          </cell>
        </row>
        <row r="261">
          <cell r="A261" t="str">
            <v>eq.082</v>
          </cell>
          <cell r="D261">
            <v>182651.352</v>
          </cell>
        </row>
        <row r="262">
          <cell r="A262" t="str">
            <v>eq.082b</v>
          </cell>
          <cell r="D262">
            <v>200644.61</v>
          </cell>
        </row>
        <row r="263">
          <cell r="A263" t="str">
            <v>eq.086</v>
          </cell>
          <cell r="D263">
            <v>40274.3</v>
          </cell>
        </row>
        <row r="264">
          <cell r="A264" t="str">
            <v>eq.088</v>
          </cell>
          <cell r="D264">
            <v>4303080.2332</v>
          </cell>
        </row>
        <row r="265">
          <cell r="A265" t="str">
            <v>eq.088b</v>
          </cell>
          <cell r="D265">
            <v>7345800</v>
          </cell>
        </row>
        <row r="266">
          <cell r="A266" t="str">
            <v>eq.090</v>
          </cell>
          <cell r="D266">
            <v>216502.3636</v>
          </cell>
        </row>
        <row r="267">
          <cell r="A267" t="str">
            <v>eq.090b</v>
          </cell>
          <cell r="D267">
            <v>220374</v>
          </cell>
        </row>
        <row r="268">
          <cell r="A268" t="str">
            <v>eq.100</v>
          </cell>
          <cell r="D268">
            <v>422.88</v>
          </cell>
        </row>
        <row r="269">
          <cell r="A269" t="str">
            <v>eq.102</v>
          </cell>
          <cell r="D269">
            <v>2051939.1813</v>
          </cell>
        </row>
        <row r="270">
          <cell r="A270" t="str">
            <v>eq.102b</v>
          </cell>
          <cell r="D270">
            <v>3444000</v>
          </cell>
        </row>
        <row r="271">
          <cell r="A271" t="str">
            <v>eq.104</v>
          </cell>
          <cell r="D271">
            <v>1486300.2</v>
          </cell>
        </row>
        <row r="272">
          <cell r="A272" t="str">
            <v>eq.105</v>
          </cell>
          <cell r="D272">
            <v>461.66</v>
          </cell>
        </row>
        <row r="273">
          <cell r="A273" t="str">
            <v>eq.106</v>
          </cell>
          <cell r="D273">
            <v>601238.85</v>
          </cell>
        </row>
        <row r="274">
          <cell r="A274" t="str">
            <v>eq.107</v>
          </cell>
          <cell r="D274">
            <v>672800.14</v>
          </cell>
        </row>
        <row r="275">
          <cell r="A275" t="str">
            <v>eq.108</v>
          </cell>
          <cell r="D275">
            <v>4504.4067</v>
          </cell>
        </row>
        <row r="276">
          <cell r="A276" t="str">
            <v>eq.109</v>
          </cell>
          <cell r="D276">
            <v>5617.3567</v>
          </cell>
        </row>
        <row r="277">
          <cell r="A277" t="str">
            <v>eq.110</v>
          </cell>
          <cell r="D277">
            <v>6279.34</v>
          </cell>
        </row>
        <row r="278">
          <cell r="A278" t="str">
            <v>eq.111</v>
          </cell>
          <cell r="D278">
            <v>87649.77</v>
          </cell>
        </row>
        <row r="279">
          <cell r="A279" t="str">
            <v>eq.112</v>
          </cell>
          <cell r="D279">
            <v>87649.77</v>
          </cell>
        </row>
        <row r="280">
          <cell r="A280" t="str">
            <v>eq.116</v>
          </cell>
          <cell r="D280">
            <v>1975204</v>
          </cell>
        </row>
        <row r="281">
          <cell r="A281" t="str">
            <v>eq.120</v>
          </cell>
          <cell r="D281">
            <v>1900</v>
          </cell>
        </row>
        <row r="282">
          <cell r="A282" t="str">
            <v>eq.121</v>
          </cell>
          <cell r="D282">
            <v>495.5099</v>
          </cell>
        </row>
        <row r="283">
          <cell r="A283" t="str">
            <v>eq.122</v>
          </cell>
          <cell r="D283">
            <v>20000</v>
          </cell>
        </row>
        <row r="284">
          <cell r="A284" t="str">
            <v>eq.123</v>
          </cell>
          <cell r="D284">
            <v>522368</v>
          </cell>
        </row>
        <row r="285">
          <cell r="A285" t="str">
            <v>eq.124</v>
          </cell>
          <cell r="D285">
            <v>473396</v>
          </cell>
        </row>
        <row r="286">
          <cell r="A286" t="str">
            <v>eq.125</v>
          </cell>
          <cell r="D286">
            <v>530530</v>
          </cell>
        </row>
        <row r="287">
          <cell r="A287" t="str">
            <v>eq.200</v>
          </cell>
          <cell r="D287">
            <v>742.25</v>
          </cell>
        </row>
        <row r="288">
          <cell r="A288" t="str">
            <v>eq.201</v>
          </cell>
          <cell r="D288">
            <v>8.94</v>
          </cell>
        </row>
        <row r="289">
          <cell r="A289" t="str">
            <v>eq.300</v>
          </cell>
          <cell r="D289">
            <v>9.04</v>
          </cell>
        </row>
        <row r="290">
          <cell r="A290" t="str">
            <v>eq.301</v>
          </cell>
          <cell r="D290">
            <v>5.7</v>
          </cell>
        </row>
        <row r="291">
          <cell r="A291" t="str">
            <v>eq.901</v>
          </cell>
          <cell r="D291">
            <v>1126356</v>
          </cell>
        </row>
        <row r="292">
          <cell r="A292" t="str">
            <v>eq.902</v>
          </cell>
          <cell r="D292">
            <v>3093398</v>
          </cell>
        </row>
        <row r="293">
          <cell r="A293" t="str">
            <v>eq.976</v>
          </cell>
          <cell r="D293">
            <v>979440</v>
          </cell>
        </row>
        <row r="294">
          <cell r="A294" t="str">
            <v>fi.023</v>
          </cell>
          <cell r="D294">
            <v>18.85</v>
          </cell>
        </row>
        <row r="295">
          <cell r="A295" t="str">
            <v>fi.024</v>
          </cell>
          <cell r="D295">
            <v>8.16</v>
          </cell>
        </row>
        <row r="296">
          <cell r="A296" t="str">
            <v>fi.025</v>
          </cell>
          <cell r="D296">
            <v>12.2</v>
          </cell>
        </row>
        <row r="297">
          <cell r="A297" t="str">
            <v>fi.026</v>
          </cell>
          <cell r="D297">
            <v>120</v>
          </cell>
        </row>
        <row r="298">
          <cell r="A298" t="str">
            <v>fi.027</v>
          </cell>
          <cell r="D298">
            <v>17.7</v>
          </cell>
        </row>
        <row r="299">
          <cell r="A299" t="str">
            <v>fi.028</v>
          </cell>
          <cell r="D299">
            <v>10277.56</v>
          </cell>
        </row>
        <row r="300">
          <cell r="A300" t="str">
            <v>fi.029</v>
          </cell>
          <cell r="D300">
            <v>11580.08</v>
          </cell>
        </row>
        <row r="301">
          <cell r="A301" t="str">
            <v>fl.001</v>
          </cell>
          <cell r="D301">
            <v>525</v>
          </cell>
        </row>
        <row r="302">
          <cell r="A302" t="str">
            <v>fo.010</v>
          </cell>
          <cell r="D302">
            <v>57.2979</v>
          </cell>
        </row>
        <row r="303">
          <cell r="A303" t="str">
            <v>fo.020</v>
          </cell>
          <cell r="D303">
            <v>16.51</v>
          </cell>
        </row>
        <row r="304">
          <cell r="A304" t="str">
            <v>fo.030</v>
          </cell>
          <cell r="D304">
            <v>41.53</v>
          </cell>
        </row>
        <row r="305">
          <cell r="A305" t="str">
            <v>fo.035</v>
          </cell>
          <cell r="D305">
            <v>85.3033</v>
          </cell>
        </row>
        <row r="306">
          <cell r="A306" t="str">
            <v>fo.040</v>
          </cell>
          <cell r="D306">
            <v>109.0767</v>
          </cell>
        </row>
        <row r="307">
          <cell r="A307" t="str">
            <v>ga.005</v>
          </cell>
          <cell r="D307">
            <v>167.03</v>
          </cell>
        </row>
        <row r="308">
          <cell r="A308" t="str">
            <v>ga.006</v>
          </cell>
          <cell r="D308">
            <v>2.0454</v>
          </cell>
        </row>
        <row r="309">
          <cell r="A309" t="str">
            <v>ga.007</v>
          </cell>
          <cell r="D309">
            <v>6.3422</v>
          </cell>
        </row>
        <row r="310">
          <cell r="A310" t="str">
            <v>ga.008</v>
          </cell>
          <cell r="D310">
            <v>77.51</v>
          </cell>
        </row>
        <row r="311">
          <cell r="A311" t="str">
            <v>ga.009</v>
          </cell>
          <cell r="D311">
            <v>24.79</v>
          </cell>
        </row>
        <row r="312">
          <cell r="A312" t="str">
            <v>ga.010</v>
          </cell>
          <cell r="D312">
            <v>41.25</v>
          </cell>
        </row>
        <row r="313">
          <cell r="A313" t="str">
            <v>ga.011</v>
          </cell>
          <cell r="D313">
            <v>71.5818</v>
          </cell>
        </row>
        <row r="314">
          <cell r="A314" t="str">
            <v>ga.012</v>
          </cell>
          <cell r="D314">
            <v>107.44</v>
          </cell>
        </row>
        <row r="315">
          <cell r="A315" t="str">
            <v>ga.020</v>
          </cell>
          <cell r="D315">
            <v>289.26</v>
          </cell>
        </row>
        <row r="316">
          <cell r="A316" t="str">
            <v>ga.113</v>
          </cell>
          <cell r="D316">
            <v>1005.37</v>
          </cell>
        </row>
        <row r="317">
          <cell r="A317" t="str">
            <v>ga.114</v>
          </cell>
          <cell r="D317">
            <v>1768.595</v>
          </cell>
        </row>
        <row r="318">
          <cell r="A318" t="str">
            <v>ga.116</v>
          </cell>
          <cell r="D318">
            <v>1879.34</v>
          </cell>
        </row>
        <row r="319">
          <cell r="A319" t="str">
            <v>ga.126</v>
          </cell>
          <cell r="D319">
            <v>250.82</v>
          </cell>
        </row>
        <row r="320">
          <cell r="A320" t="str">
            <v>ga.137</v>
          </cell>
          <cell r="D320">
            <v>146.5947</v>
          </cell>
        </row>
        <row r="321">
          <cell r="A321" t="str">
            <v>ga.138</v>
          </cell>
          <cell r="D321">
            <v>151.605</v>
          </cell>
        </row>
        <row r="322">
          <cell r="A322" t="str">
            <v>ga.152</v>
          </cell>
          <cell r="D322">
            <v>27.395</v>
          </cell>
        </row>
        <row r="323">
          <cell r="A323" t="str">
            <v>ga.153</v>
          </cell>
          <cell r="D323">
            <v>31.785</v>
          </cell>
        </row>
        <row r="324">
          <cell r="A324" t="str">
            <v>ga.156</v>
          </cell>
          <cell r="D324">
            <v>47.14</v>
          </cell>
        </row>
        <row r="325">
          <cell r="A325" t="str">
            <v>ga.159</v>
          </cell>
          <cell r="D325">
            <v>8.59</v>
          </cell>
        </row>
        <row r="326">
          <cell r="A326" t="str">
            <v>ga.160</v>
          </cell>
          <cell r="D326">
            <v>10.7867</v>
          </cell>
        </row>
        <row r="327">
          <cell r="A327" t="str">
            <v>ga.161</v>
          </cell>
          <cell r="D327">
            <v>21.685</v>
          </cell>
        </row>
        <row r="328">
          <cell r="A328" t="str">
            <v>ga.162</v>
          </cell>
          <cell r="D328">
            <v>204.9599</v>
          </cell>
        </row>
        <row r="329">
          <cell r="A329" t="str">
            <v>ga.163</v>
          </cell>
          <cell r="D329">
            <v>46.7322</v>
          </cell>
        </row>
        <row r="330">
          <cell r="A330" t="str">
            <v>ga.166</v>
          </cell>
          <cell r="D330">
            <v>10.09</v>
          </cell>
        </row>
        <row r="331">
          <cell r="A331" t="str">
            <v>ga.167</v>
          </cell>
          <cell r="D331">
            <v>4.52</v>
          </cell>
        </row>
        <row r="332">
          <cell r="A332" t="str">
            <v>ga.168</v>
          </cell>
          <cell r="D332">
            <v>16.6022</v>
          </cell>
        </row>
        <row r="333">
          <cell r="A333" t="str">
            <v>ga.169</v>
          </cell>
          <cell r="D333">
            <v>12.075</v>
          </cell>
        </row>
        <row r="334">
          <cell r="A334" t="str">
            <v>ga.170</v>
          </cell>
          <cell r="D334">
            <v>17.215</v>
          </cell>
        </row>
        <row r="335">
          <cell r="A335" t="str">
            <v>ga.171</v>
          </cell>
          <cell r="D335">
            <v>28.78</v>
          </cell>
        </row>
        <row r="336">
          <cell r="A336" t="str">
            <v>ga.172</v>
          </cell>
          <cell r="D336">
            <v>36.33</v>
          </cell>
        </row>
        <row r="337">
          <cell r="A337" t="str">
            <v>ga.173</v>
          </cell>
          <cell r="D337">
            <v>168.44</v>
          </cell>
        </row>
        <row r="338">
          <cell r="A338" t="str">
            <v>ga.180</v>
          </cell>
          <cell r="D338">
            <v>6.65</v>
          </cell>
        </row>
        <row r="339">
          <cell r="A339" t="str">
            <v>ga.190</v>
          </cell>
          <cell r="D339">
            <v>35.2</v>
          </cell>
        </row>
        <row r="340">
          <cell r="A340" t="str">
            <v>ga.191</v>
          </cell>
          <cell r="D340">
            <v>30.305</v>
          </cell>
        </row>
        <row r="341">
          <cell r="A341" t="str">
            <v>ga.195</v>
          </cell>
          <cell r="D341">
            <v>5.36</v>
          </cell>
        </row>
        <row r="342">
          <cell r="A342" t="str">
            <v>ga.200</v>
          </cell>
          <cell r="D342">
            <v>7.805</v>
          </cell>
        </row>
        <row r="343">
          <cell r="A343" t="str">
            <v>ga.201</v>
          </cell>
          <cell r="D343">
            <v>5.015</v>
          </cell>
        </row>
        <row r="344">
          <cell r="A344" t="str">
            <v>ga.205</v>
          </cell>
          <cell r="D344">
            <v>7.14</v>
          </cell>
        </row>
        <row r="345">
          <cell r="A345" t="str">
            <v>ga.206</v>
          </cell>
          <cell r="D345">
            <v>27.87</v>
          </cell>
        </row>
        <row r="346">
          <cell r="A346" t="str">
            <v>ga.207</v>
          </cell>
          <cell r="D346">
            <v>44.3</v>
          </cell>
        </row>
        <row r="347">
          <cell r="A347" t="str">
            <v>ga.208</v>
          </cell>
          <cell r="D347">
            <v>88.96</v>
          </cell>
        </row>
        <row r="348">
          <cell r="A348" t="str">
            <v>ga.209</v>
          </cell>
          <cell r="D348">
            <v>2.07</v>
          </cell>
        </row>
        <row r="349">
          <cell r="A349" t="str">
            <v>ga.210</v>
          </cell>
          <cell r="D349">
            <v>4.13</v>
          </cell>
        </row>
        <row r="350">
          <cell r="A350" t="str">
            <v>ga.211</v>
          </cell>
          <cell r="D350">
            <v>36.11</v>
          </cell>
        </row>
        <row r="351">
          <cell r="A351" t="str">
            <v>ga.212</v>
          </cell>
          <cell r="D351">
            <v>122.328</v>
          </cell>
        </row>
        <row r="352">
          <cell r="A352" t="str">
            <v>ga.213</v>
          </cell>
          <cell r="D352">
            <v>147.77</v>
          </cell>
        </row>
        <row r="353">
          <cell r="A353" t="str">
            <v>ga.214</v>
          </cell>
          <cell r="D353">
            <v>317.44</v>
          </cell>
        </row>
        <row r="354">
          <cell r="A354" t="str">
            <v>ga.215</v>
          </cell>
          <cell r="D354">
            <v>10.88</v>
          </cell>
        </row>
        <row r="355">
          <cell r="A355" t="str">
            <v>ga.216</v>
          </cell>
          <cell r="D355">
            <v>6.53</v>
          </cell>
        </row>
        <row r="356">
          <cell r="A356" t="str">
            <v>ga.217</v>
          </cell>
          <cell r="D356">
            <v>29</v>
          </cell>
        </row>
        <row r="357">
          <cell r="A357" t="str">
            <v>gajo.161</v>
          </cell>
          <cell r="D357">
            <v>140.6754</v>
          </cell>
        </row>
        <row r="358">
          <cell r="A358" t="str">
            <v>her.001</v>
          </cell>
          <cell r="D358">
            <v>2768.6</v>
          </cell>
        </row>
        <row r="359">
          <cell r="A359" t="str">
            <v>her.002</v>
          </cell>
          <cell r="D359">
            <v>376.03</v>
          </cell>
        </row>
        <row r="360">
          <cell r="A360" t="str">
            <v>her.003</v>
          </cell>
          <cell r="D360">
            <v>422.31</v>
          </cell>
        </row>
        <row r="361">
          <cell r="A361" t="str">
            <v>her.004</v>
          </cell>
          <cell r="D361">
            <v>46.28</v>
          </cell>
        </row>
        <row r="362">
          <cell r="A362" t="str">
            <v>her.005</v>
          </cell>
          <cell r="D362">
            <v>145.45</v>
          </cell>
        </row>
        <row r="363">
          <cell r="A363" t="str">
            <v>her.006</v>
          </cell>
          <cell r="D363">
            <v>13.22</v>
          </cell>
        </row>
        <row r="364">
          <cell r="A364" t="str">
            <v>her.007</v>
          </cell>
          <cell r="D364">
            <v>85.12</v>
          </cell>
        </row>
        <row r="365">
          <cell r="A365" t="str">
            <v>her.008</v>
          </cell>
          <cell r="D365">
            <v>19.83</v>
          </cell>
        </row>
        <row r="366">
          <cell r="A366" t="str">
            <v>her.009</v>
          </cell>
          <cell r="D366">
            <v>676.03</v>
          </cell>
        </row>
        <row r="367">
          <cell r="A367" t="str">
            <v>her.010</v>
          </cell>
          <cell r="D367">
            <v>2095.04</v>
          </cell>
        </row>
        <row r="368">
          <cell r="A368" t="str">
            <v>her.011</v>
          </cell>
          <cell r="D368">
            <v>3472.73</v>
          </cell>
        </row>
        <row r="369">
          <cell r="A369" t="str">
            <v>her.012</v>
          </cell>
          <cell r="D369">
            <v>89.26</v>
          </cell>
        </row>
        <row r="370">
          <cell r="A370" t="str">
            <v>her.013</v>
          </cell>
          <cell r="D370">
            <v>216.53</v>
          </cell>
        </row>
        <row r="371">
          <cell r="A371" t="str">
            <v>la.001</v>
          </cell>
          <cell r="D371">
            <v>1800</v>
          </cell>
        </row>
        <row r="372">
          <cell r="A372" t="str">
            <v>la.002</v>
          </cell>
          <cell r="D372">
            <v>3.83</v>
          </cell>
        </row>
        <row r="373">
          <cell r="A373" t="str">
            <v>la.003</v>
          </cell>
          <cell r="D373">
            <v>1600</v>
          </cell>
        </row>
        <row r="374">
          <cell r="A374" t="str">
            <v>la.006</v>
          </cell>
          <cell r="D374">
            <v>3</v>
          </cell>
        </row>
        <row r="375">
          <cell r="A375" t="str">
            <v>la.007</v>
          </cell>
          <cell r="D375">
            <v>5.97</v>
          </cell>
        </row>
        <row r="376">
          <cell r="A376" t="str">
            <v>la.008</v>
          </cell>
          <cell r="D376">
            <v>5.17</v>
          </cell>
        </row>
        <row r="377">
          <cell r="A377" t="str">
            <v>la.009</v>
          </cell>
          <cell r="D377">
            <v>7.03</v>
          </cell>
        </row>
        <row r="378">
          <cell r="A378" t="str">
            <v>la.010</v>
          </cell>
          <cell r="D378">
            <v>7.88</v>
          </cell>
        </row>
        <row r="379">
          <cell r="A379" t="str">
            <v>la.011</v>
          </cell>
          <cell r="D379">
            <v>6.67</v>
          </cell>
        </row>
        <row r="380">
          <cell r="A380" t="str">
            <v>la.012</v>
          </cell>
          <cell r="D380">
            <v>15.57</v>
          </cell>
        </row>
        <row r="381">
          <cell r="A381" t="str">
            <v>la.014</v>
          </cell>
          <cell r="D381">
            <v>2100</v>
          </cell>
        </row>
        <row r="382">
          <cell r="A382" t="str">
            <v>la.020</v>
          </cell>
          <cell r="D382">
            <v>2300</v>
          </cell>
        </row>
        <row r="383">
          <cell r="A383" t="str">
            <v>la.021</v>
          </cell>
          <cell r="D383">
            <v>2400</v>
          </cell>
        </row>
        <row r="384">
          <cell r="A384" t="str">
            <v>la.022</v>
          </cell>
          <cell r="D384">
            <v>2600</v>
          </cell>
        </row>
        <row r="385">
          <cell r="A385" t="str">
            <v>la.023</v>
          </cell>
          <cell r="D385">
            <v>2000</v>
          </cell>
        </row>
        <row r="386">
          <cell r="A386" t="str">
            <v>li.001</v>
          </cell>
          <cell r="D386">
            <v>2.1</v>
          </cell>
        </row>
        <row r="387">
          <cell r="A387" t="str">
            <v>li.002</v>
          </cell>
          <cell r="D387">
            <v>10.24</v>
          </cell>
        </row>
        <row r="388">
          <cell r="A388" t="str">
            <v>li.003</v>
          </cell>
          <cell r="D388">
            <v>10.24</v>
          </cell>
        </row>
        <row r="389">
          <cell r="A389" t="str">
            <v>li.004</v>
          </cell>
          <cell r="D389">
            <v>1.57</v>
          </cell>
        </row>
        <row r="390">
          <cell r="A390" t="str">
            <v>li.005</v>
          </cell>
          <cell r="D390">
            <v>74.25</v>
          </cell>
        </row>
        <row r="391">
          <cell r="A391" t="str">
            <v>li.006</v>
          </cell>
          <cell r="D391">
            <v>1.65</v>
          </cell>
        </row>
        <row r="392">
          <cell r="A392" t="str">
            <v>li.009</v>
          </cell>
          <cell r="D392">
            <v>3.3833</v>
          </cell>
        </row>
        <row r="393">
          <cell r="A393" t="str">
            <v>li.010</v>
          </cell>
          <cell r="D393">
            <v>35.1</v>
          </cell>
        </row>
        <row r="394">
          <cell r="A394" t="str">
            <v>li.015</v>
          </cell>
          <cell r="D394">
            <v>56.65</v>
          </cell>
        </row>
        <row r="395">
          <cell r="A395" t="str">
            <v>li.100</v>
          </cell>
          <cell r="D395">
            <v>10.39</v>
          </cell>
        </row>
        <row r="396">
          <cell r="A396" t="str">
            <v>ma.001</v>
          </cell>
          <cell r="D396">
            <v>90.645</v>
          </cell>
        </row>
        <row r="397">
          <cell r="A397" t="str">
            <v>ma.002</v>
          </cell>
          <cell r="D397">
            <v>19.46</v>
          </cell>
        </row>
        <row r="398">
          <cell r="A398" t="str">
            <v>ma.003</v>
          </cell>
          <cell r="D398">
            <v>96.1</v>
          </cell>
        </row>
        <row r="399">
          <cell r="A399" t="str">
            <v>ma.004</v>
          </cell>
          <cell r="D399">
            <v>75.095</v>
          </cell>
        </row>
        <row r="400">
          <cell r="A400" t="str">
            <v>ma.006</v>
          </cell>
          <cell r="D400">
            <v>77.815</v>
          </cell>
        </row>
        <row r="401">
          <cell r="A401" t="str">
            <v>ma.007</v>
          </cell>
          <cell r="D401">
            <v>48.275</v>
          </cell>
        </row>
        <row r="402">
          <cell r="A402" t="str">
            <v>ma.008</v>
          </cell>
          <cell r="D402">
            <v>8.82</v>
          </cell>
        </row>
        <row r="403">
          <cell r="A403" t="str">
            <v>ma.010</v>
          </cell>
          <cell r="D403">
            <v>44.24</v>
          </cell>
        </row>
        <row r="404">
          <cell r="A404" t="str">
            <v>ma.011</v>
          </cell>
          <cell r="D404">
            <v>133.345</v>
          </cell>
        </row>
        <row r="405">
          <cell r="A405" t="str">
            <v>ma.012</v>
          </cell>
          <cell r="D405">
            <v>164.295</v>
          </cell>
        </row>
        <row r="406">
          <cell r="A406" t="str">
            <v>ma.015</v>
          </cell>
          <cell r="D406">
            <v>4.195</v>
          </cell>
        </row>
        <row r="407">
          <cell r="A407" t="str">
            <v>ma.016</v>
          </cell>
          <cell r="D407">
            <v>22.11</v>
          </cell>
        </row>
        <row r="408">
          <cell r="A408" t="str">
            <v>ma.017</v>
          </cell>
          <cell r="D408">
            <v>305.77</v>
          </cell>
        </row>
        <row r="409">
          <cell r="A409" t="str">
            <v>ma.018</v>
          </cell>
          <cell r="D409">
            <v>41.14</v>
          </cell>
        </row>
        <row r="410">
          <cell r="A410" t="str">
            <v>ma.020</v>
          </cell>
          <cell r="D410">
            <v>16.04</v>
          </cell>
        </row>
        <row r="411">
          <cell r="A411" t="str">
            <v>ma.021</v>
          </cell>
          <cell r="D411">
            <v>264.46</v>
          </cell>
        </row>
        <row r="412">
          <cell r="A412" t="str">
            <v>ma.022</v>
          </cell>
          <cell r="D412">
            <v>147.11</v>
          </cell>
        </row>
        <row r="413">
          <cell r="A413" t="str">
            <v>ma.023</v>
          </cell>
          <cell r="D413">
            <v>11.57</v>
          </cell>
        </row>
        <row r="414">
          <cell r="A414" t="str">
            <v>ma.024</v>
          </cell>
          <cell r="D414">
            <v>9.92</v>
          </cell>
        </row>
        <row r="415">
          <cell r="A415" t="str">
            <v>ma.025</v>
          </cell>
          <cell r="D415">
            <v>3674.8</v>
          </cell>
        </row>
        <row r="416">
          <cell r="A416" t="str">
            <v>ma.026</v>
          </cell>
          <cell r="D416">
            <v>239.72</v>
          </cell>
        </row>
        <row r="417">
          <cell r="A417" t="str">
            <v>ma.050</v>
          </cell>
          <cell r="D417">
            <v>575.21</v>
          </cell>
        </row>
        <row r="418">
          <cell r="A418" t="str">
            <v>ma.051</v>
          </cell>
          <cell r="D418">
            <v>363.64</v>
          </cell>
        </row>
        <row r="419">
          <cell r="A419" t="str">
            <v>ma.052</v>
          </cell>
          <cell r="D419">
            <v>35.2676</v>
          </cell>
        </row>
        <row r="420">
          <cell r="A420" t="str">
            <v>ma.053</v>
          </cell>
          <cell r="D420">
            <v>2.98</v>
          </cell>
        </row>
        <row r="421">
          <cell r="A421" t="str">
            <v>mo.001</v>
          </cell>
          <cell r="D421">
            <v>74.26</v>
          </cell>
        </row>
        <row r="422">
          <cell r="A422" t="str">
            <v>mo.002</v>
          </cell>
          <cell r="D422">
            <v>63.28</v>
          </cell>
        </row>
        <row r="423">
          <cell r="A423" t="str">
            <v>mo.003</v>
          </cell>
          <cell r="D423">
            <v>58.34</v>
          </cell>
        </row>
        <row r="424">
          <cell r="A424" t="str">
            <v>mo.004</v>
          </cell>
          <cell r="D424">
            <v>53.57</v>
          </cell>
        </row>
        <row r="425">
          <cell r="A425" t="str">
            <v>mo.005</v>
          </cell>
          <cell r="D425">
            <v>63.7033</v>
          </cell>
        </row>
        <row r="426">
          <cell r="A426" t="str">
            <v>mo.006</v>
          </cell>
          <cell r="D426">
            <v>58.06</v>
          </cell>
        </row>
        <row r="427">
          <cell r="A427" t="str">
            <v>mo.007</v>
          </cell>
          <cell r="D427">
            <v>67.43</v>
          </cell>
        </row>
        <row r="428">
          <cell r="A428" t="str">
            <v>mo.008</v>
          </cell>
          <cell r="D428">
            <v>74.26</v>
          </cell>
        </row>
        <row r="429">
          <cell r="A429" t="str">
            <v>pb.010</v>
          </cell>
          <cell r="D429">
            <v>18223.14</v>
          </cell>
        </row>
        <row r="430">
          <cell r="A430" t="str">
            <v>pb.020</v>
          </cell>
          <cell r="D430">
            <v>18817.19</v>
          </cell>
        </row>
        <row r="431">
          <cell r="A431" t="str">
            <v>pb.030</v>
          </cell>
          <cell r="D431">
            <v>7968.33</v>
          </cell>
        </row>
        <row r="432">
          <cell r="A432" t="str">
            <v>pb.040</v>
          </cell>
          <cell r="D432">
            <v>1976.03</v>
          </cell>
        </row>
        <row r="433">
          <cell r="A433" t="str">
            <v>pb.050</v>
          </cell>
          <cell r="D433">
            <v>205.79</v>
          </cell>
        </row>
        <row r="434">
          <cell r="A434" t="str">
            <v>pb.060</v>
          </cell>
          <cell r="D434">
            <v>494.83</v>
          </cell>
        </row>
        <row r="435">
          <cell r="A435" t="str">
            <v>pb.070</v>
          </cell>
          <cell r="D435">
            <v>20073.92</v>
          </cell>
        </row>
        <row r="436">
          <cell r="A436" t="str">
            <v>pb.080</v>
          </cell>
          <cell r="D436">
            <v>15002.48</v>
          </cell>
        </row>
        <row r="437">
          <cell r="A437" t="str">
            <v>pb.090</v>
          </cell>
          <cell r="D437">
            <v>21765.29</v>
          </cell>
        </row>
        <row r="438">
          <cell r="A438" t="str">
            <v>pb.100</v>
          </cell>
          <cell r="D438">
            <v>3323.64</v>
          </cell>
        </row>
        <row r="439">
          <cell r="A439" t="str">
            <v>pb.101</v>
          </cell>
          <cell r="D439">
            <v>4265.12</v>
          </cell>
        </row>
        <row r="440">
          <cell r="A440" t="str">
            <v>pb.102</v>
          </cell>
          <cell r="D440">
            <v>4427.43</v>
          </cell>
        </row>
        <row r="441">
          <cell r="A441" t="str">
            <v>pb.140</v>
          </cell>
          <cell r="D441">
            <v>1581.6314</v>
          </cell>
        </row>
        <row r="442">
          <cell r="A442" t="str">
            <v>pi.002</v>
          </cell>
          <cell r="D442">
            <v>15.5133</v>
          </cell>
        </row>
        <row r="443">
          <cell r="A443" t="str">
            <v>pi.003</v>
          </cell>
          <cell r="D443">
            <v>23.6267</v>
          </cell>
        </row>
        <row r="444">
          <cell r="A444" t="str">
            <v>pi.004</v>
          </cell>
          <cell r="D444">
            <v>84.9067</v>
          </cell>
        </row>
        <row r="445">
          <cell r="A445" t="str">
            <v>pi.005</v>
          </cell>
          <cell r="D445">
            <v>223.16</v>
          </cell>
        </row>
        <row r="446">
          <cell r="A446" t="str">
            <v>pi.006</v>
          </cell>
          <cell r="D446">
            <v>62.9567</v>
          </cell>
        </row>
        <row r="447">
          <cell r="A447" t="str">
            <v>pi.010</v>
          </cell>
          <cell r="D447">
            <v>264.4367</v>
          </cell>
        </row>
        <row r="448">
          <cell r="A448" t="str">
            <v>pi.011</v>
          </cell>
          <cell r="D448">
            <v>310.525</v>
          </cell>
        </row>
        <row r="449">
          <cell r="A449" t="str">
            <v>pi.012</v>
          </cell>
          <cell r="D449">
            <v>175.8</v>
          </cell>
        </row>
        <row r="450">
          <cell r="A450" t="str">
            <v>pi.015</v>
          </cell>
          <cell r="D450">
            <v>46.77</v>
          </cell>
        </row>
        <row r="451">
          <cell r="A451" t="str">
            <v>pi.016</v>
          </cell>
          <cell r="D451">
            <v>21.0967</v>
          </cell>
        </row>
        <row r="452">
          <cell r="A452" t="str">
            <v>pi.017</v>
          </cell>
          <cell r="D452">
            <v>64.72</v>
          </cell>
        </row>
        <row r="453">
          <cell r="A453" t="str">
            <v>pi.018</v>
          </cell>
          <cell r="D453">
            <v>706.3933</v>
          </cell>
        </row>
        <row r="454">
          <cell r="A454" t="str">
            <v>pi.019</v>
          </cell>
          <cell r="D454">
            <v>17.1</v>
          </cell>
        </row>
        <row r="455">
          <cell r="A455" t="str">
            <v>pi.020</v>
          </cell>
          <cell r="D455">
            <v>30.87</v>
          </cell>
        </row>
        <row r="456">
          <cell r="A456" t="str">
            <v>pi.022</v>
          </cell>
          <cell r="D456">
            <v>7.59</v>
          </cell>
        </row>
        <row r="457">
          <cell r="A457" t="str">
            <v>pi.025</v>
          </cell>
          <cell r="D457">
            <v>55.5367</v>
          </cell>
        </row>
        <row r="458">
          <cell r="A458" t="str">
            <v>pi.030</v>
          </cell>
          <cell r="D458">
            <v>33.42</v>
          </cell>
        </row>
        <row r="459">
          <cell r="A459" t="str">
            <v>pi.031</v>
          </cell>
          <cell r="D459">
            <v>58.5033</v>
          </cell>
        </row>
        <row r="460">
          <cell r="A460" t="str">
            <v>pi.032</v>
          </cell>
          <cell r="D460">
            <v>29.4667</v>
          </cell>
        </row>
        <row r="461">
          <cell r="A461" t="str">
            <v>pi.033</v>
          </cell>
          <cell r="D461">
            <v>2.7833</v>
          </cell>
        </row>
        <row r="462">
          <cell r="A462" t="str">
            <v>pi.034</v>
          </cell>
          <cell r="D462">
            <v>55.1085</v>
          </cell>
        </row>
        <row r="463">
          <cell r="A463" t="str">
            <v>pi.035</v>
          </cell>
          <cell r="D463">
            <v>14.5139</v>
          </cell>
        </row>
        <row r="464">
          <cell r="A464" t="str">
            <v>pi.037</v>
          </cell>
          <cell r="D464">
            <v>39.47</v>
          </cell>
        </row>
        <row r="465">
          <cell r="A465" t="str">
            <v>pi.038</v>
          </cell>
          <cell r="D465">
            <v>46.95</v>
          </cell>
        </row>
        <row r="466">
          <cell r="A466" t="str">
            <v>pi.039</v>
          </cell>
          <cell r="D466">
            <v>42.17</v>
          </cell>
        </row>
        <row r="467">
          <cell r="A467" t="str">
            <v>pi.040</v>
          </cell>
          <cell r="D467">
            <v>24.8523</v>
          </cell>
        </row>
        <row r="468">
          <cell r="A468" t="str">
            <v>pi.041</v>
          </cell>
          <cell r="D468">
            <v>60.7991</v>
          </cell>
        </row>
        <row r="469">
          <cell r="A469" t="str">
            <v>pi.042</v>
          </cell>
          <cell r="D469">
            <v>583.2133</v>
          </cell>
        </row>
        <row r="470">
          <cell r="A470" t="str">
            <v>pi.043</v>
          </cell>
          <cell r="D470">
            <v>303.0833</v>
          </cell>
        </row>
        <row r="471">
          <cell r="A471" t="str">
            <v>pi.044</v>
          </cell>
          <cell r="D471">
            <v>251.7267</v>
          </cell>
        </row>
        <row r="472">
          <cell r="A472" t="str">
            <v>pl.001</v>
          </cell>
          <cell r="D472">
            <v>74.0519</v>
          </cell>
        </row>
        <row r="473">
          <cell r="A473" t="str">
            <v>pl.002</v>
          </cell>
          <cell r="D473">
            <v>67.85</v>
          </cell>
        </row>
        <row r="474">
          <cell r="A474" t="str">
            <v>pre.010</v>
          </cell>
          <cell r="D474">
            <v>159.505</v>
          </cell>
        </row>
        <row r="475">
          <cell r="A475" t="str">
            <v>pre.030</v>
          </cell>
          <cell r="D475">
            <v>257.85</v>
          </cell>
        </row>
        <row r="476">
          <cell r="A476" t="str">
            <v>pre.040</v>
          </cell>
          <cell r="D476">
            <v>228.2442</v>
          </cell>
        </row>
        <row r="477">
          <cell r="A477" t="str">
            <v>pre.050</v>
          </cell>
          <cell r="D477">
            <v>825.55</v>
          </cell>
        </row>
        <row r="478">
          <cell r="A478" t="str">
            <v>pre.055</v>
          </cell>
          <cell r="D478">
            <v>1033.06</v>
          </cell>
        </row>
        <row r="479">
          <cell r="A479" t="str">
            <v>pre.100</v>
          </cell>
          <cell r="D479">
            <v>1462.81</v>
          </cell>
        </row>
        <row r="480">
          <cell r="A480" t="str">
            <v>ra.016</v>
          </cell>
          <cell r="D480">
            <v>6.4167</v>
          </cell>
        </row>
        <row r="481">
          <cell r="A481" t="str">
            <v>ra.020</v>
          </cell>
          <cell r="D481">
            <v>26.2382</v>
          </cell>
        </row>
        <row r="482">
          <cell r="A482" t="str">
            <v>ra.020b</v>
          </cell>
          <cell r="D482">
            <v>30.7</v>
          </cell>
        </row>
        <row r="483">
          <cell r="A483" t="str">
            <v>ra.024</v>
          </cell>
          <cell r="D483">
            <v>43.6579</v>
          </cell>
        </row>
        <row r="484">
          <cell r="A484" t="str">
            <v>ra.024b</v>
          </cell>
          <cell r="D484">
            <v>43.55</v>
          </cell>
        </row>
        <row r="485">
          <cell r="A485" t="str">
            <v>ra.025</v>
          </cell>
          <cell r="D485">
            <v>63.6326</v>
          </cell>
        </row>
        <row r="486">
          <cell r="A486" t="str">
            <v>ra.025b</v>
          </cell>
          <cell r="D486">
            <v>62.88</v>
          </cell>
        </row>
        <row r="487">
          <cell r="A487" t="str">
            <v>ra.026</v>
          </cell>
          <cell r="D487">
            <v>93.2624</v>
          </cell>
        </row>
        <row r="488">
          <cell r="A488" t="str">
            <v>ra.026b</v>
          </cell>
          <cell r="D488">
            <v>94.69</v>
          </cell>
        </row>
        <row r="489">
          <cell r="A489" t="str">
            <v>ra.027</v>
          </cell>
          <cell r="D489">
            <v>84.8011</v>
          </cell>
        </row>
        <row r="490">
          <cell r="A490" t="str">
            <v>ra.028</v>
          </cell>
          <cell r="D490">
            <v>47.8239</v>
          </cell>
        </row>
        <row r="491">
          <cell r="A491" t="str">
            <v>ra.028b</v>
          </cell>
          <cell r="D491">
            <v>72.39</v>
          </cell>
        </row>
        <row r="492">
          <cell r="A492" t="str">
            <v>ra.029</v>
          </cell>
          <cell r="D492">
            <v>130.8571</v>
          </cell>
        </row>
        <row r="493">
          <cell r="A493" t="str">
            <v>ra.029b</v>
          </cell>
          <cell r="D493">
            <v>935.66</v>
          </cell>
        </row>
        <row r="494">
          <cell r="A494" t="str">
            <v>ra.030</v>
          </cell>
          <cell r="D494">
            <v>72.0756</v>
          </cell>
        </row>
        <row r="495">
          <cell r="A495" t="str">
            <v>ra.030b</v>
          </cell>
          <cell r="D495">
            <v>113.83</v>
          </cell>
        </row>
        <row r="496">
          <cell r="A496" t="str">
            <v>ra.032</v>
          </cell>
          <cell r="D496">
            <v>183.7501</v>
          </cell>
        </row>
        <row r="497">
          <cell r="A497" t="str">
            <v>ra.032b</v>
          </cell>
          <cell r="D497">
            <v>201.06</v>
          </cell>
        </row>
        <row r="498">
          <cell r="A498" t="str">
            <v>ra.034</v>
          </cell>
          <cell r="D498">
            <v>1507.17</v>
          </cell>
        </row>
        <row r="499">
          <cell r="A499" t="str">
            <v>ra.036</v>
          </cell>
          <cell r="D499">
            <v>134.74</v>
          </cell>
        </row>
        <row r="500">
          <cell r="A500" t="str">
            <v>ra.037</v>
          </cell>
          <cell r="D500">
            <v>130.3511</v>
          </cell>
        </row>
        <row r="501">
          <cell r="A501" t="str">
            <v>ra.100</v>
          </cell>
          <cell r="D501">
            <v>318.26</v>
          </cell>
        </row>
        <row r="502">
          <cell r="A502" t="str">
            <v>ra.101</v>
          </cell>
          <cell r="D502">
            <v>367.14</v>
          </cell>
        </row>
        <row r="503">
          <cell r="A503" t="str">
            <v>ra.102</v>
          </cell>
          <cell r="D503">
            <v>585.17</v>
          </cell>
        </row>
        <row r="504">
          <cell r="A504" t="str">
            <v>ra.103</v>
          </cell>
          <cell r="D504">
            <v>718.13</v>
          </cell>
        </row>
        <row r="505">
          <cell r="A505" t="str">
            <v>ra.104</v>
          </cell>
          <cell r="D505">
            <v>885.65</v>
          </cell>
        </row>
        <row r="506">
          <cell r="A506" t="str">
            <v>ra.105</v>
          </cell>
          <cell r="D506">
            <v>1274.58</v>
          </cell>
        </row>
        <row r="507">
          <cell r="A507" t="str">
            <v>rc.010</v>
          </cell>
          <cell r="D507">
            <v>842.05</v>
          </cell>
        </row>
        <row r="508">
          <cell r="A508" t="str">
            <v>rc.020</v>
          </cell>
          <cell r="D508">
            <v>102.0977</v>
          </cell>
        </row>
        <row r="509">
          <cell r="A509" t="str">
            <v>re.005</v>
          </cell>
          <cell r="D509">
            <v>4275.4955</v>
          </cell>
        </row>
        <row r="510">
          <cell r="A510" t="str">
            <v>re.010</v>
          </cell>
          <cell r="D510">
            <v>4179.9612</v>
          </cell>
        </row>
        <row r="511">
          <cell r="A511" t="str">
            <v>re.015</v>
          </cell>
          <cell r="D511">
            <v>16460.3798</v>
          </cell>
        </row>
        <row r="512">
          <cell r="A512" t="str">
            <v>re.020</v>
          </cell>
          <cell r="D512">
            <v>14322.7125</v>
          </cell>
        </row>
        <row r="513">
          <cell r="A513" t="str">
            <v>re.025</v>
          </cell>
          <cell r="D513">
            <v>305</v>
          </cell>
        </row>
        <row r="514">
          <cell r="A514" t="str">
            <v>re.026</v>
          </cell>
          <cell r="D514">
            <v>186</v>
          </cell>
        </row>
        <row r="515">
          <cell r="A515" t="str">
            <v>re.030</v>
          </cell>
          <cell r="D515">
            <v>633.7462</v>
          </cell>
        </row>
        <row r="516">
          <cell r="A516" t="str">
            <v>re.035</v>
          </cell>
          <cell r="D516">
            <v>93.015</v>
          </cell>
        </row>
        <row r="517">
          <cell r="A517" t="str">
            <v>re.040</v>
          </cell>
          <cell r="D517">
            <v>28.815</v>
          </cell>
        </row>
        <row r="518">
          <cell r="A518" t="str">
            <v>re.043</v>
          </cell>
          <cell r="D518">
            <v>15.26</v>
          </cell>
        </row>
        <row r="519">
          <cell r="A519" t="str">
            <v>re.045</v>
          </cell>
          <cell r="D519">
            <v>90.5526</v>
          </cell>
        </row>
        <row r="520">
          <cell r="A520" t="str">
            <v>re.050</v>
          </cell>
          <cell r="D520">
            <v>60.7104</v>
          </cell>
        </row>
        <row r="521">
          <cell r="A521" t="str">
            <v>re.055</v>
          </cell>
          <cell r="D521">
            <v>72.1572</v>
          </cell>
        </row>
        <row r="522">
          <cell r="A522" t="str">
            <v>re.060</v>
          </cell>
          <cell r="D522">
            <v>101720.325</v>
          </cell>
        </row>
        <row r="523">
          <cell r="A523" t="str">
            <v>re.065</v>
          </cell>
          <cell r="D523">
            <v>2534.84</v>
          </cell>
        </row>
        <row r="524">
          <cell r="A524" t="str">
            <v>re.070</v>
          </cell>
          <cell r="D524">
            <v>172.81</v>
          </cell>
        </row>
        <row r="525">
          <cell r="A525" t="str">
            <v>re.075</v>
          </cell>
          <cell r="D525">
            <v>1013.516</v>
          </cell>
        </row>
        <row r="526">
          <cell r="A526" t="str">
            <v>re.080</v>
          </cell>
          <cell r="D526">
            <v>159.04</v>
          </cell>
        </row>
        <row r="527">
          <cell r="A527" t="str">
            <v>re.090</v>
          </cell>
          <cell r="D527">
            <v>2051.86</v>
          </cell>
        </row>
        <row r="528">
          <cell r="A528" t="str">
            <v>re.095</v>
          </cell>
          <cell r="D528">
            <v>1890.2732</v>
          </cell>
        </row>
        <row r="529">
          <cell r="A529" t="str">
            <v>re.100</v>
          </cell>
          <cell r="D529">
            <v>658.62</v>
          </cell>
        </row>
        <row r="530">
          <cell r="A530" t="str">
            <v>re.105</v>
          </cell>
          <cell r="D530">
            <v>1270.4863</v>
          </cell>
        </row>
        <row r="531">
          <cell r="A531" t="str">
            <v>re.110</v>
          </cell>
          <cell r="D531">
            <v>14.8466</v>
          </cell>
        </row>
        <row r="532">
          <cell r="A532" t="str">
            <v>re.115</v>
          </cell>
          <cell r="D532">
            <v>99.54</v>
          </cell>
        </row>
        <row r="533">
          <cell r="A533" t="str">
            <v>rg.004</v>
          </cell>
          <cell r="D533">
            <v>57.96</v>
          </cell>
        </row>
        <row r="534">
          <cell r="A534" t="str">
            <v>rg.006</v>
          </cell>
          <cell r="D534">
            <v>57.96</v>
          </cell>
        </row>
        <row r="535">
          <cell r="A535" t="str">
            <v>rg.008</v>
          </cell>
          <cell r="D535">
            <v>6.7834</v>
          </cell>
        </row>
        <row r="536">
          <cell r="A536" t="str">
            <v>rg.018</v>
          </cell>
          <cell r="D536">
            <v>27.5</v>
          </cell>
        </row>
        <row r="537">
          <cell r="A537" t="str">
            <v>rg.020</v>
          </cell>
          <cell r="D537">
            <v>43.74</v>
          </cell>
        </row>
        <row r="538">
          <cell r="A538" t="str">
            <v>rg.026</v>
          </cell>
          <cell r="D538">
            <v>161</v>
          </cell>
        </row>
        <row r="539">
          <cell r="A539" t="str">
            <v>rg.028</v>
          </cell>
          <cell r="D539">
            <v>127.05</v>
          </cell>
        </row>
        <row r="540">
          <cell r="A540" t="str">
            <v>rg.030</v>
          </cell>
          <cell r="D540">
            <v>127.05</v>
          </cell>
        </row>
        <row r="541">
          <cell r="A541" t="str">
            <v>rv.010</v>
          </cell>
          <cell r="D541">
            <v>103.31</v>
          </cell>
        </row>
        <row r="542">
          <cell r="A542" t="str">
            <v>rv.016</v>
          </cell>
          <cell r="D542">
            <v>1005.9933</v>
          </cell>
        </row>
        <row r="543">
          <cell r="A543" t="str">
            <v>rv.017</v>
          </cell>
          <cell r="D543">
            <v>1301.8733</v>
          </cell>
        </row>
        <row r="544">
          <cell r="A544" t="str">
            <v>rv.018</v>
          </cell>
          <cell r="D544">
            <v>1595.9567</v>
          </cell>
        </row>
        <row r="545">
          <cell r="A545" t="str">
            <v>rv.019</v>
          </cell>
          <cell r="D545">
            <v>679.7267</v>
          </cell>
        </row>
        <row r="546">
          <cell r="A546" t="str">
            <v>rv.020</v>
          </cell>
          <cell r="D546">
            <v>8.8733</v>
          </cell>
        </row>
        <row r="547">
          <cell r="A547" t="str">
            <v>rv.021</v>
          </cell>
          <cell r="D547">
            <v>725.48</v>
          </cell>
        </row>
        <row r="548">
          <cell r="A548" t="str">
            <v>rv.022</v>
          </cell>
          <cell r="D548">
            <v>144.69</v>
          </cell>
        </row>
        <row r="549">
          <cell r="A549" t="str">
            <v>rv.024</v>
          </cell>
          <cell r="D549">
            <v>119.83</v>
          </cell>
        </row>
        <row r="550">
          <cell r="A550" t="str">
            <v>rv.025</v>
          </cell>
          <cell r="D550">
            <v>4381.34</v>
          </cell>
        </row>
        <row r="551">
          <cell r="A551" t="str">
            <v>rv.026</v>
          </cell>
          <cell r="D551">
            <v>3888.89</v>
          </cell>
        </row>
        <row r="552">
          <cell r="A552" t="str">
            <v>rv.027</v>
          </cell>
          <cell r="D552">
            <v>3172.49</v>
          </cell>
        </row>
        <row r="553">
          <cell r="A553" t="str">
            <v>rv.028</v>
          </cell>
          <cell r="D553">
            <v>4201.76</v>
          </cell>
        </row>
        <row r="554">
          <cell r="A554" t="str">
            <v>rv.029</v>
          </cell>
          <cell r="D554">
            <v>2900</v>
          </cell>
        </row>
        <row r="555">
          <cell r="A555" t="str">
            <v>rv.030</v>
          </cell>
          <cell r="D555">
            <v>0.26</v>
          </cell>
        </row>
        <row r="556">
          <cell r="A556" t="str">
            <v>rv.031</v>
          </cell>
          <cell r="D556">
            <v>74.38</v>
          </cell>
        </row>
        <row r="557">
          <cell r="A557" t="str">
            <v>rv.032</v>
          </cell>
          <cell r="D557">
            <v>5797.52</v>
          </cell>
        </row>
        <row r="558">
          <cell r="A558" t="str">
            <v>rv.033</v>
          </cell>
          <cell r="D558">
            <v>82000</v>
          </cell>
        </row>
        <row r="559">
          <cell r="A559" t="str">
            <v>rv.034</v>
          </cell>
          <cell r="D559">
            <v>13322.31</v>
          </cell>
        </row>
        <row r="560">
          <cell r="A560" t="str">
            <v>rv.035</v>
          </cell>
          <cell r="D560">
            <v>1454.55</v>
          </cell>
        </row>
        <row r="561">
          <cell r="A561" t="str">
            <v>rv.036</v>
          </cell>
          <cell r="D561">
            <v>102152.38</v>
          </cell>
        </row>
        <row r="562">
          <cell r="A562" t="str">
            <v>rv.037</v>
          </cell>
          <cell r="D562">
            <v>217.6</v>
          </cell>
        </row>
        <row r="563">
          <cell r="A563" t="str">
            <v>rv.038</v>
          </cell>
          <cell r="D563">
            <v>258.8497</v>
          </cell>
        </row>
        <row r="564">
          <cell r="A564" t="str">
            <v>rv.038b</v>
          </cell>
          <cell r="D564">
            <v>129.5426</v>
          </cell>
        </row>
        <row r="565">
          <cell r="A565" t="str">
            <v>rv.039</v>
          </cell>
          <cell r="D565">
            <v>9.26</v>
          </cell>
        </row>
        <row r="566">
          <cell r="A566" t="str">
            <v>rv.040</v>
          </cell>
          <cell r="D566">
            <v>147</v>
          </cell>
        </row>
        <row r="567">
          <cell r="A567" t="str">
            <v>sa.001</v>
          </cell>
          <cell r="D567">
            <v>63.5013</v>
          </cell>
        </row>
        <row r="568">
          <cell r="A568" t="str">
            <v>sa.001b</v>
          </cell>
          <cell r="D568">
            <v>40.5587</v>
          </cell>
        </row>
        <row r="569">
          <cell r="A569" t="str">
            <v>sa.002</v>
          </cell>
          <cell r="D569">
            <v>56.883</v>
          </cell>
        </row>
        <row r="570">
          <cell r="A570" t="str">
            <v>sa.002b</v>
          </cell>
          <cell r="D570">
            <v>35.5925</v>
          </cell>
        </row>
        <row r="571">
          <cell r="A571" t="str">
            <v>sa.003</v>
          </cell>
          <cell r="D571">
            <v>22.093</v>
          </cell>
        </row>
        <row r="572">
          <cell r="A572" t="str">
            <v>sa.004</v>
          </cell>
          <cell r="D572">
            <v>25.0856</v>
          </cell>
        </row>
        <row r="573">
          <cell r="A573" t="str">
            <v>sa.005</v>
          </cell>
          <cell r="D573">
            <v>50.7076</v>
          </cell>
        </row>
        <row r="574">
          <cell r="A574" t="str">
            <v>sa.005b</v>
          </cell>
          <cell r="D574">
            <v>37.85</v>
          </cell>
        </row>
        <row r="575">
          <cell r="A575" t="str">
            <v>sa.006</v>
          </cell>
          <cell r="D575">
            <v>52.2159</v>
          </cell>
        </row>
        <row r="576">
          <cell r="A576" t="str">
            <v>sa.006b</v>
          </cell>
          <cell r="D576">
            <v>32.0763</v>
          </cell>
        </row>
        <row r="577">
          <cell r="A577" t="str">
            <v>sa.007</v>
          </cell>
          <cell r="D577">
            <v>12.313</v>
          </cell>
        </row>
        <row r="578">
          <cell r="A578" t="str">
            <v>sa.007b</v>
          </cell>
          <cell r="D578">
            <v>7.7206</v>
          </cell>
        </row>
        <row r="579">
          <cell r="A579" t="str">
            <v>sa.008</v>
          </cell>
          <cell r="D579">
            <v>12.2441</v>
          </cell>
        </row>
        <row r="580">
          <cell r="A580" t="str">
            <v>sa.008b</v>
          </cell>
          <cell r="D580">
            <v>8.2133</v>
          </cell>
        </row>
        <row r="581">
          <cell r="A581" t="str">
            <v>sa.009</v>
          </cell>
          <cell r="D581">
            <v>7.6726</v>
          </cell>
        </row>
        <row r="582">
          <cell r="A582" t="str">
            <v>sa.009b</v>
          </cell>
          <cell r="D582">
            <v>4.8533</v>
          </cell>
        </row>
        <row r="583">
          <cell r="A583" t="str">
            <v>sa.010</v>
          </cell>
          <cell r="D583">
            <v>9.4353</v>
          </cell>
        </row>
        <row r="584">
          <cell r="A584" t="str">
            <v>sa.010b</v>
          </cell>
          <cell r="D584">
            <v>6.0923</v>
          </cell>
        </row>
        <row r="585">
          <cell r="A585" t="str">
            <v>sa.011</v>
          </cell>
          <cell r="D585">
            <v>12.6816</v>
          </cell>
        </row>
        <row r="586">
          <cell r="A586" t="str">
            <v>sa.012</v>
          </cell>
          <cell r="D586">
            <v>17.6086</v>
          </cell>
        </row>
        <row r="587">
          <cell r="A587" t="str">
            <v>sa.014</v>
          </cell>
          <cell r="D587">
            <v>40.4687</v>
          </cell>
        </row>
        <row r="588">
          <cell r="A588" t="str">
            <v>sa.015</v>
          </cell>
          <cell r="D588">
            <v>441.2925</v>
          </cell>
        </row>
        <row r="589">
          <cell r="A589" t="str">
            <v>sa.016</v>
          </cell>
          <cell r="D589">
            <v>131.6566</v>
          </cell>
        </row>
        <row r="590">
          <cell r="A590" t="str">
            <v>sa.017</v>
          </cell>
          <cell r="D590">
            <v>370.25</v>
          </cell>
        </row>
        <row r="591">
          <cell r="A591" t="str">
            <v>sa.018</v>
          </cell>
          <cell r="D591">
            <v>400.94</v>
          </cell>
        </row>
        <row r="592">
          <cell r="A592" t="str">
            <v>sa.019</v>
          </cell>
          <cell r="D592">
            <v>274.865</v>
          </cell>
        </row>
        <row r="593">
          <cell r="A593" t="str">
            <v>sa.020</v>
          </cell>
          <cell r="D593">
            <v>360.075</v>
          </cell>
        </row>
        <row r="594">
          <cell r="A594" t="str">
            <v>sa.021</v>
          </cell>
          <cell r="D594">
            <v>452.52</v>
          </cell>
        </row>
        <row r="595">
          <cell r="A595" t="str">
            <v>sa.025</v>
          </cell>
          <cell r="D595">
            <v>55.99</v>
          </cell>
        </row>
        <row r="596">
          <cell r="A596" t="str">
            <v>sa.026</v>
          </cell>
          <cell r="D596">
            <v>44.63</v>
          </cell>
        </row>
        <row r="597">
          <cell r="A597" t="str">
            <v>sa.027</v>
          </cell>
          <cell r="D597">
            <v>71.07</v>
          </cell>
        </row>
        <row r="598">
          <cell r="A598" t="str">
            <v>sa.028</v>
          </cell>
          <cell r="D598">
            <v>91.74</v>
          </cell>
        </row>
        <row r="599">
          <cell r="A599" t="str">
            <v>sa.029</v>
          </cell>
          <cell r="D599">
            <v>50.1604</v>
          </cell>
        </row>
        <row r="600">
          <cell r="A600" t="str">
            <v>sa.030</v>
          </cell>
          <cell r="D600">
            <v>18.3195</v>
          </cell>
        </row>
        <row r="601">
          <cell r="A601" t="str">
            <v>sa.031</v>
          </cell>
          <cell r="D601">
            <v>6.7355</v>
          </cell>
        </row>
        <row r="602">
          <cell r="A602" t="str">
            <v>sa.059</v>
          </cell>
          <cell r="D602">
            <v>84.5533</v>
          </cell>
        </row>
        <row r="603">
          <cell r="A603" t="str">
            <v>sa.060</v>
          </cell>
          <cell r="D603">
            <v>5.5051</v>
          </cell>
        </row>
        <row r="604">
          <cell r="A604" t="str">
            <v>sa.061</v>
          </cell>
          <cell r="D604">
            <v>9.1612</v>
          </cell>
        </row>
        <row r="605">
          <cell r="A605" t="str">
            <v>sa.070</v>
          </cell>
          <cell r="D605">
            <v>12.5661</v>
          </cell>
        </row>
        <row r="606">
          <cell r="A606" t="str">
            <v>sa.071</v>
          </cell>
          <cell r="D606">
            <v>17.1218</v>
          </cell>
        </row>
        <row r="607">
          <cell r="A607" t="str">
            <v>sa.086</v>
          </cell>
          <cell r="D607">
            <v>41.1973</v>
          </cell>
        </row>
        <row r="608">
          <cell r="A608" t="str">
            <v>sa.086b</v>
          </cell>
          <cell r="D608">
            <v>45.064</v>
          </cell>
        </row>
        <row r="609">
          <cell r="A609" t="str">
            <v>sa.087</v>
          </cell>
          <cell r="D609">
            <v>35.2274</v>
          </cell>
        </row>
        <row r="610">
          <cell r="A610" t="str">
            <v>sa.087b</v>
          </cell>
          <cell r="D610">
            <v>21.1822</v>
          </cell>
        </row>
        <row r="611">
          <cell r="A611" t="str">
            <v>sa.088</v>
          </cell>
          <cell r="D611">
            <v>42.3491</v>
          </cell>
        </row>
        <row r="612">
          <cell r="A612" t="str">
            <v>sa.088b</v>
          </cell>
          <cell r="D612">
            <v>26.5089</v>
          </cell>
        </row>
        <row r="613">
          <cell r="A613" t="str">
            <v>sa.089</v>
          </cell>
          <cell r="D613">
            <v>45.5933</v>
          </cell>
        </row>
        <row r="614">
          <cell r="A614" t="str">
            <v>sa.089b</v>
          </cell>
          <cell r="D614">
            <v>30.3653</v>
          </cell>
        </row>
        <row r="615">
          <cell r="A615" t="str">
            <v>sa.090</v>
          </cell>
          <cell r="D615">
            <v>57.758</v>
          </cell>
        </row>
        <row r="616">
          <cell r="A616" t="str">
            <v>sa.090b</v>
          </cell>
          <cell r="D616">
            <v>40.7567</v>
          </cell>
        </row>
        <row r="617">
          <cell r="A617" t="str">
            <v>sa.107</v>
          </cell>
          <cell r="D617">
            <v>2.0922</v>
          </cell>
        </row>
        <row r="618">
          <cell r="A618" t="str">
            <v>sa.108</v>
          </cell>
          <cell r="D618">
            <v>2.9818</v>
          </cell>
        </row>
        <row r="619">
          <cell r="A619" t="str">
            <v>sa.109</v>
          </cell>
          <cell r="D619">
            <v>6.4948</v>
          </cell>
        </row>
        <row r="620">
          <cell r="A620" t="str">
            <v>sa.111</v>
          </cell>
          <cell r="D620">
            <v>9.3929</v>
          </cell>
        </row>
        <row r="621">
          <cell r="A621" t="str">
            <v>sa.112</v>
          </cell>
          <cell r="D621">
            <v>183.9863</v>
          </cell>
        </row>
        <row r="622">
          <cell r="A622" t="str">
            <v>sa.139</v>
          </cell>
          <cell r="D622">
            <v>5.2639</v>
          </cell>
        </row>
        <row r="623">
          <cell r="A623" t="str">
            <v>sa.145</v>
          </cell>
          <cell r="D623">
            <v>43.4794</v>
          </cell>
        </row>
        <row r="624">
          <cell r="A624" t="str">
            <v>sa.150</v>
          </cell>
          <cell r="D624">
            <v>77.7032</v>
          </cell>
        </row>
        <row r="625">
          <cell r="A625" t="str">
            <v>sa.169</v>
          </cell>
          <cell r="D625">
            <v>50.455</v>
          </cell>
        </row>
        <row r="626">
          <cell r="A626" t="str">
            <v>sa.190</v>
          </cell>
          <cell r="D626">
            <v>7.7295</v>
          </cell>
        </row>
        <row r="627">
          <cell r="A627" t="str">
            <v>sa.194</v>
          </cell>
          <cell r="D627">
            <v>1.1225</v>
          </cell>
        </row>
        <row r="628">
          <cell r="A628" t="str">
            <v>sa.195</v>
          </cell>
          <cell r="D628">
            <v>1.3628</v>
          </cell>
        </row>
        <row r="629">
          <cell r="A629" t="str">
            <v>sa.200</v>
          </cell>
          <cell r="D629">
            <v>3.9063</v>
          </cell>
        </row>
        <row r="630">
          <cell r="A630" t="str">
            <v>sa.201</v>
          </cell>
          <cell r="D630">
            <v>2.4156</v>
          </cell>
        </row>
        <row r="631">
          <cell r="A631" t="str">
            <v>sa.202</v>
          </cell>
          <cell r="D631">
            <v>7.6027</v>
          </cell>
        </row>
        <row r="632">
          <cell r="A632" t="str">
            <v>sa.205</v>
          </cell>
          <cell r="D632">
            <v>319.3479</v>
          </cell>
        </row>
        <row r="633">
          <cell r="A633" t="str">
            <v>sa.210</v>
          </cell>
          <cell r="D633">
            <v>155.4</v>
          </cell>
        </row>
        <row r="634">
          <cell r="A634" t="str">
            <v>sa.220</v>
          </cell>
          <cell r="D634">
            <v>30.1913</v>
          </cell>
        </row>
        <row r="635">
          <cell r="A635" t="str">
            <v>sa.221</v>
          </cell>
          <cell r="D635">
            <v>33.0316</v>
          </cell>
        </row>
        <row r="636">
          <cell r="A636" t="str">
            <v>sa.223</v>
          </cell>
          <cell r="D636">
            <v>501.9384</v>
          </cell>
        </row>
        <row r="637">
          <cell r="A637" t="str">
            <v>sa.235</v>
          </cell>
          <cell r="D637">
            <v>13.9398</v>
          </cell>
        </row>
        <row r="638">
          <cell r="A638" t="str">
            <v>sa.236</v>
          </cell>
          <cell r="D638">
            <v>630.355</v>
          </cell>
        </row>
        <row r="639">
          <cell r="A639" t="str">
            <v>sa.237</v>
          </cell>
          <cell r="D639">
            <v>496.235</v>
          </cell>
        </row>
        <row r="640">
          <cell r="A640" t="str">
            <v>sa.238</v>
          </cell>
          <cell r="D640">
            <v>706.345</v>
          </cell>
        </row>
        <row r="641">
          <cell r="A641" t="str">
            <v>sa.239</v>
          </cell>
          <cell r="D641">
            <v>818.44</v>
          </cell>
        </row>
        <row r="642">
          <cell r="A642" t="str">
            <v>sa.243</v>
          </cell>
          <cell r="D642">
            <v>85.3462</v>
          </cell>
        </row>
        <row r="643">
          <cell r="A643" t="str">
            <v>sa.244</v>
          </cell>
          <cell r="D643">
            <v>96.1312</v>
          </cell>
        </row>
        <row r="644">
          <cell r="A644" t="str">
            <v>sa.247</v>
          </cell>
          <cell r="D644">
            <v>83.6259</v>
          </cell>
        </row>
        <row r="645">
          <cell r="A645" t="str">
            <v>sa.248</v>
          </cell>
          <cell r="D645">
            <v>106.2742</v>
          </cell>
        </row>
        <row r="646">
          <cell r="A646" t="str">
            <v>sa.249</v>
          </cell>
          <cell r="D646">
            <v>109.3918</v>
          </cell>
        </row>
        <row r="647">
          <cell r="A647" t="str">
            <v>sa.265</v>
          </cell>
          <cell r="D647">
            <v>42.3065</v>
          </cell>
        </row>
        <row r="648">
          <cell r="A648" t="str">
            <v>sa.270</v>
          </cell>
          <cell r="D648">
            <v>86.9914</v>
          </cell>
        </row>
        <row r="649">
          <cell r="A649" t="str">
            <v>sa.271</v>
          </cell>
          <cell r="D649">
            <v>113.9158</v>
          </cell>
        </row>
        <row r="650">
          <cell r="A650" t="str">
            <v>sa.283</v>
          </cell>
          <cell r="D650">
            <v>27.1787</v>
          </cell>
        </row>
        <row r="651">
          <cell r="A651" t="str">
            <v>sa.284</v>
          </cell>
          <cell r="D651">
            <v>60.2806</v>
          </cell>
        </row>
        <row r="652">
          <cell r="A652" t="str">
            <v>sa.285</v>
          </cell>
          <cell r="D652">
            <v>1040.1751</v>
          </cell>
        </row>
        <row r="653">
          <cell r="A653" t="str">
            <v>sa.287</v>
          </cell>
          <cell r="D653">
            <v>65.3789</v>
          </cell>
        </row>
        <row r="654">
          <cell r="A654" t="str">
            <v>sa.288</v>
          </cell>
          <cell r="D654">
            <v>11.0433</v>
          </cell>
        </row>
        <row r="655">
          <cell r="A655" t="str">
            <v>sa.291</v>
          </cell>
          <cell r="D655">
            <v>619.83</v>
          </cell>
        </row>
        <row r="656">
          <cell r="A656" t="str">
            <v>sa.292</v>
          </cell>
          <cell r="D656">
            <v>611.7</v>
          </cell>
        </row>
        <row r="657">
          <cell r="A657" t="str">
            <v>sa.293</v>
          </cell>
          <cell r="D657">
            <v>660.8023</v>
          </cell>
        </row>
        <row r="658">
          <cell r="A658" t="str">
            <v>sa.295</v>
          </cell>
          <cell r="D658">
            <v>1233.56</v>
          </cell>
        </row>
        <row r="659">
          <cell r="A659" t="str">
            <v>sa.296</v>
          </cell>
          <cell r="D659">
            <v>1753.55</v>
          </cell>
        </row>
        <row r="660">
          <cell r="A660" t="str">
            <v>sa.297</v>
          </cell>
          <cell r="D660">
            <v>2437.44</v>
          </cell>
        </row>
        <row r="661">
          <cell r="A661" t="str">
            <v>sa.298</v>
          </cell>
          <cell r="D661">
            <v>23.64</v>
          </cell>
        </row>
        <row r="662">
          <cell r="A662" t="str">
            <v>sa.299</v>
          </cell>
          <cell r="D662">
            <v>821.2413</v>
          </cell>
        </row>
        <row r="663">
          <cell r="A663" t="str">
            <v>sa.300</v>
          </cell>
          <cell r="D663">
            <v>30.2016</v>
          </cell>
        </row>
        <row r="664">
          <cell r="A664" t="str">
            <v>sa.310</v>
          </cell>
          <cell r="D664">
            <v>121.9696</v>
          </cell>
        </row>
        <row r="665">
          <cell r="A665" t="str">
            <v>sa.321</v>
          </cell>
          <cell r="D665">
            <v>8.3037</v>
          </cell>
        </row>
        <row r="666">
          <cell r="A666" t="str">
            <v>sa.322</v>
          </cell>
          <cell r="D666">
            <v>10.8864</v>
          </cell>
        </row>
        <row r="667">
          <cell r="A667" t="str">
            <v>sa.323</v>
          </cell>
          <cell r="D667">
            <v>6.4879</v>
          </cell>
        </row>
        <row r="668">
          <cell r="A668" t="str">
            <v>sa.324</v>
          </cell>
          <cell r="D668">
            <v>8.5661</v>
          </cell>
        </row>
        <row r="669">
          <cell r="A669" t="str">
            <v>sa.325</v>
          </cell>
          <cell r="D669">
            <v>5.9798</v>
          </cell>
        </row>
        <row r="670">
          <cell r="A670" t="str">
            <v>sa.328</v>
          </cell>
          <cell r="D670">
            <v>2.0223</v>
          </cell>
        </row>
        <row r="671">
          <cell r="A671" t="str">
            <v>sa.329</v>
          </cell>
          <cell r="D671">
            <v>2.6566</v>
          </cell>
        </row>
        <row r="672">
          <cell r="A672" t="str">
            <v>sa.330</v>
          </cell>
          <cell r="D672">
            <v>5.9393</v>
          </cell>
        </row>
        <row r="673">
          <cell r="A673" t="str">
            <v>sa.331</v>
          </cell>
          <cell r="D673">
            <v>7.5448</v>
          </cell>
        </row>
        <row r="674">
          <cell r="A674" t="str">
            <v>sa.333</v>
          </cell>
          <cell r="D674">
            <v>1.0772</v>
          </cell>
        </row>
        <row r="675">
          <cell r="A675" t="str">
            <v>sa.334</v>
          </cell>
          <cell r="D675">
            <v>1.5597</v>
          </cell>
        </row>
        <row r="676">
          <cell r="A676" t="str">
            <v>sa.335</v>
          </cell>
          <cell r="D676">
            <v>24.2637</v>
          </cell>
        </row>
        <row r="677">
          <cell r="A677" t="str">
            <v>sa.336</v>
          </cell>
          <cell r="D677">
            <v>5.4532</v>
          </cell>
        </row>
        <row r="678">
          <cell r="A678" t="str">
            <v>sa.337</v>
          </cell>
          <cell r="D678">
            <v>8.6906</v>
          </cell>
        </row>
        <row r="679">
          <cell r="A679" t="str">
            <v>sa.338</v>
          </cell>
          <cell r="D679">
            <v>9.7193</v>
          </cell>
        </row>
        <row r="680">
          <cell r="A680" t="str">
            <v>sa.339</v>
          </cell>
          <cell r="D680">
            <v>2.5978</v>
          </cell>
        </row>
        <row r="681">
          <cell r="A681" t="str">
            <v>sa.340</v>
          </cell>
          <cell r="D681">
            <v>4.1118</v>
          </cell>
        </row>
        <row r="682">
          <cell r="A682" t="str">
            <v>sa.341</v>
          </cell>
          <cell r="D682">
            <v>45.1325</v>
          </cell>
        </row>
        <row r="683">
          <cell r="A683" t="str">
            <v>sa.342</v>
          </cell>
          <cell r="D683">
            <v>65.0122</v>
          </cell>
        </row>
        <row r="684">
          <cell r="A684" t="str">
            <v>sa.346</v>
          </cell>
          <cell r="D684">
            <v>66.0344</v>
          </cell>
        </row>
        <row r="685">
          <cell r="A685" t="str">
            <v>sa.349</v>
          </cell>
          <cell r="D685">
            <v>32.9072</v>
          </cell>
        </row>
        <row r="686">
          <cell r="A686" t="str">
            <v>sa.350</v>
          </cell>
          <cell r="D686">
            <v>25.3028</v>
          </cell>
        </row>
        <row r="687">
          <cell r="A687" t="str">
            <v>sa.351</v>
          </cell>
          <cell r="D687">
            <v>25.1117</v>
          </cell>
        </row>
        <row r="688">
          <cell r="A688" t="str">
            <v>sa.352</v>
          </cell>
          <cell r="D688">
            <v>71.978</v>
          </cell>
        </row>
        <row r="689">
          <cell r="A689" t="str">
            <v>sa.353</v>
          </cell>
          <cell r="D689">
            <v>196.8736</v>
          </cell>
        </row>
        <row r="690">
          <cell r="A690" t="str">
            <v>sa.354</v>
          </cell>
          <cell r="D690">
            <v>102.0908</v>
          </cell>
        </row>
        <row r="691">
          <cell r="A691" t="str">
            <v>sa.357</v>
          </cell>
          <cell r="D691">
            <v>17.2854</v>
          </cell>
        </row>
        <row r="692">
          <cell r="A692" t="str">
            <v>sa.361</v>
          </cell>
          <cell r="D692">
            <v>7.1655</v>
          </cell>
        </row>
        <row r="693">
          <cell r="A693" t="str">
            <v>sa.362</v>
          </cell>
          <cell r="D693">
            <v>25.4996</v>
          </cell>
        </row>
        <row r="694">
          <cell r="A694" t="str">
            <v>sa.363</v>
          </cell>
          <cell r="D694">
            <v>5.4419</v>
          </cell>
        </row>
        <row r="695">
          <cell r="A695" t="str">
            <v>sa.364</v>
          </cell>
          <cell r="D695">
            <v>1.54</v>
          </cell>
        </row>
        <row r="696">
          <cell r="A696" t="str">
            <v>sa.366</v>
          </cell>
          <cell r="D696">
            <v>61.1497</v>
          </cell>
        </row>
        <row r="697">
          <cell r="A697" t="str">
            <v>sa.367</v>
          </cell>
          <cell r="D697">
            <v>5.5728</v>
          </cell>
        </row>
        <row r="698">
          <cell r="A698" t="str">
            <v>sa.368</v>
          </cell>
          <cell r="D698">
            <v>21.7883</v>
          </cell>
        </row>
        <row r="699">
          <cell r="A699" t="str">
            <v>sa.369</v>
          </cell>
          <cell r="D699">
            <v>3.4925</v>
          </cell>
        </row>
        <row r="700">
          <cell r="A700" t="str">
            <v>sa.370</v>
          </cell>
          <cell r="D700">
            <v>108.3343</v>
          </cell>
        </row>
        <row r="701">
          <cell r="A701" t="str">
            <v>sa.372</v>
          </cell>
          <cell r="D701">
            <v>50.9674</v>
          </cell>
        </row>
        <row r="702">
          <cell r="A702" t="str">
            <v>sa.700</v>
          </cell>
          <cell r="D702">
            <v>1608.4</v>
          </cell>
        </row>
        <row r="703">
          <cell r="A703" t="str">
            <v>sa.900</v>
          </cell>
          <cell r="D703">
            <v>1746.67</v>
          </cell>
        </row>
        <row r="704">
          <cell r="A704" t="str">
            <v>so.003</v>
          </cell>
          <cell r="D704">
            <v>57.02</v>
          </cell>
        </row>
        <row r="705">
          <cell r="A705" t="str">
            <v>so.004</v>
          </cell>
          <cell r="D705">
            <v>83.83</v>
          </cell>
        </row>
        <row r="706">
          <cell r="A706" t="str">
            <v>so.005</v>
          </cell>
          <cell r="D706">
            <v>111.92</v>
          </cell>
        </row>
        <row r="707">
          <cell r="A707" t="str">
            <v>so.006</v>
          </cell>
          <cell r="D707">
            <v>62.5273</v>
          </cell>
        </row>
        <row r="708">
          <cell r="A708" t="str">
            <v>so.009</v>
          </cell>
          <cell r="D708">
            <v>54.288</v>
          </cell>
        </row>
        <row r="709">
          <cell r="A709" t="str">
            <v>so.010</v>
          </cell>
          <cell r="D709">
            <v>29.16</v>
          </cell>
        </row>
        <row r="710">
          <cell r="A710" t="str">
            <v>so.011</v>
          </cell>
          <cell r="D710">
            <v>26.47</v>
          </cell>
        </row>
        <row r="711">
          <cell r="A711" t="str">
            <v>so.012</v>
          </cell>
          <cell r="D711">
            <v>22.35</v>
          </cell>
        </row>
        <row r="712">
          <cell r="A712" t="str">
            <v>so.013</v>
          </cell>
          <cell r="D712">
            <v>26.45</v>
          </cell>
        </row>
        <row r="713">
          <cell r="A713" t="str">
            <v>so.014</v>
          </cell>
          <cell r="D713">
            <v>28.79</v>
          </cell>
        </row>
        <row r="714">
          <cell r="A714" t="str">
            <v>so.015</v>
          </cell>
          <cell r="D714">
            <v>88.24</v>
          </cell>
        </row>
        <row r="715">
          <cell r="A715" t="str">
            <v>so.016</v>
          </cell>
          <cell r="D715">
            <v>33.94</v>
          </cell>
        </row>
        <row r="716">
          <cell r="A716" t="str">
            <v>so.030</v>
          </cell>
          <cell r="D716">
            <v>57.89</v>
          </cell>
        </row>
        <row r="717">
          <cell r="A717" t="str">
            <v>te.002</v>
          </cell>
          <cell r="D717">
            <v>5.72</v>
          </cell>
        </row>
        <row r="718">
          <cell r="A718" t="str">
            <v>te.003</v>
          </cell>
          <cell r="D718">
            <v>7.0112</v>
          </cell>
        </row>
        <row r="719">
          <cell r="A719" t="str">
            <v>vi.001</v>
          </cell>
          <cell r="D719">
            <v>131.4361</v>
          </cell>
        </row>
        <row r="720">
          <cell r="A720" t="str">
            <v>vi.002</v>
          </cell>
          <cell r="D720">
            <v>192.7969</v>
          </cell>
        </row>
        <row r="721">
          <cell r="A721" t="str">
            <v>vi.003</v>
          </cell>
          <cell r="D721">
            <v>112.6467</v>
          </cell>
        </row>
        <row r="722">
          <cell r="A722" t="str">
            <v>vi.004</v>
          </cell>
          <cell r="D722">
            <v>113.99</v>
          </cell>
        </row>
        <row r="723">
          <cell r="A723" t="str">
            <v>vi.006</v>
          </cell>
          <cell r="D723">
            <v>206.615</v>
          </cell>
        </row>
        <row r="724">
          <cell r="A724" t="str">
            <v>vi.007</v>
          </cell>
          <cell r="D724">
            <v>321.49</v>
          </cell>
        </row>
        <row r="725">
          <cell r="A725" t="str">
            <v>vi.008</v>
          </cell>
          <cell r="D725">
            <v>634.9415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4:F125" totalsRowShown="0">
  <autoFilter ref="A4:F125"/>
  <tableColumns count="6">
    <tableColumn id="1" name="Nº"/>
    <tableColumn id="2" name="Código_x000A_Fórmula"/>
    <tableColumn id="3" name="Rubro"/>
    <tableColumn id="4" name="Item"/>
    <tableColumn id="5" name="Unidad"/>
    <tableColumn id="6" name="Valor Fórmul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126"/>
  <sheetViews>
    <sheetView tabSelected="1" zoomScale="90" zoomScaleNormal="90" zoomScalePageLayoutView="0" workbookViewId="0" topLeftCell="A2">
      <selection activeCell="A2" sqref="A2:F2"/>
    </sheetView>
  </sheetViews>
  <sheetFormatPr defaultColWidth="10.69921875" defaultRowHeight="15"/>
  <cols>
    <col min="1" max="1" width="4.3984375" style="5" customWidth="1"/>
    <col min="2" max="2" width="8.09765625" style="5" customWidth="1"/>
    <col min="3" max="3" width="28.296875" style="1" bestFit="1" customWidth="1"/>
    <col min="4" max="4" width="33.8984375" style="1" bestFit="1" customWidth="1"/>
    <col min="5" max="5" width="7.19921875" style="5" customWidth="1"/>
    <col min="6" max="6" width="13.19921875" style="219" customWidth="1"/>
    <col min="7" max="7" width="0.40625" style="1" customWidth="1"/>
    <col min="8" max="8" width="2.69921875" style="1" hidden="1" customWidth="1"/>
    <col min="9" max="9" width="0" style="1" hidden="1" customWidth="1"/>
    <col min="10" max="16384" width="10.69921875" style="1" customWidth="1"/>
  </cols>
  <sheetData>
    <row r="1" spans="1:6" ht="18" customHeight="1" hidden="1" thickBot="1">
      <c r="A1" s="418" t="s">
        <v>342</v>
      </c>
      <c r="B1" s="418"/>
      <c r="C1" s="418"/>
      <c r="D1" s="418"/>
      <c r="E1" s="418"/>
      <c r="F1" s="418"/>
    </row>
    <row r="2" spans="1:6" ht="18" customHeight="1" thickBot="1">
      <c r="A2" s="415" t="s">
        <v>274</v>
      </c>
      <c r="B2" s="416"/>
      <c r="C2" s="416"/>
      <c r="D2" s="416"/>
      <c r="E2" s="416"/>
      <c r="F2" s="417"/>
    </row>
    <row r="3" spans="5:6" ht="15">
      <c r="E3" s="220" t="s">
        <v>275</v>
      </c>
      <c r="F3" s="247" t="str">
        <f>Fecha</f>
        <v>abr-2014</v>
      </c>
    </row>
    <row r="4" spans="1:6" ht="30.75" thickBot="1">
      <c r="A4" s="214" t="s">
        <v>6</v>
      </c>
      <c r="B4" s="215" t="s">
        <v>7</v>
      </c>
      <c r="C4" s="215" t="s">
        <v>9</v>
      </c>
      <c r="D4" s="215" t="s">
        <v>1895</v>
      </c>
      <c r="E4" s="215" t="s">
        <v>10</v>
      </c>
      <c r="F4" s="217" t="s">
        <v>8</v>
      </c>
    </row>
    <row r="5" spans="1:7" ht="12.75">
      <c r="A5" s="33">
        <v>1</v>
      </c>
      <c r="B5" s="216" t="s">
        <v>1832</v>
      </c>
      <c r="C5" s="1" t="str">
        <f ca="1" t="shared" si="0" ref="C5:C43">INDIRECT("rfor_"&amp;$B5)</f>
        <v>MOVIMIENTO DE TIERRA</v>
      </c>
      <c r="D5" s="1" t="str">
        <f ca="1" t="shared" si="1" ref="D5:D43">INDIRECT("dfor_"&amp;B5)</f>
        <v>excavación de zanja a mano</v>
      </c>
      <c r="E5" s="5" t="str">
        <f ca="1" t="shared" si="2" ref="E5:E43">INDIRECT("ufor_"&amp;$B5)</f>
        <v>m3</v>
      </c>
      <c r="F5" s="219">
        <f ca="1">INDIRECT("vfor_"&amp;$B5)</f>
        <v>182.3084</v>
      </c>
      <c r="G5" s="20"/>
    </row>
    <row r="6" spans="1:7" ht="12.75">
      <c r="A6" s="33">
        <v>2</v>
      </c>
      <c r="B6" s="216" t="s">
        <v>1833</v>
      </c>
      <c r="C6" s="1" t="str">
        <f ca="1" t="shared" si="0"/>
        <v>MOVIMIENTO DE TIERRA</v>
      </c>
      <c r="D6" s="1" t="str">
        <f ca="1" t="shared" si="1"/>
        <v>excavación de sotanos a mano</v>
      </c>
      <c r="E6" s="5" t="str">
        <f ca="1" t="shared" si="2"/>
        <v>m3</v>
      </c>
      <c r="F6" s="219">
        <f ca="1" t="shared" si="3" ref="F6:F43">INDIRECT("vfor_"&amp;$B6)</f>
        <v>231.0788</v>
      </c>
      <c r="G6" s="20"/>
    </row>
    <row r="7" spans="1:7" ht="12.75">
      <c r="A7" s="33">
        <v>3</v>
      </c>
      <c r="B7" s="5" t="s">
        <v>1834</v>
      </c>
      <c r="C7" s="1" t="str">
        <f ca="1" t="shared" si="0"/>
        <v>MOVIMIENTO DE TIERRA</v>
      </c>
      <c r="D7" s="1" t="str">
        <f ca="1" t="shared" si="1"/>
        <v>excavación de pozos estr. a mano</v>
      </c>
      <c r="E7" s="5" t="str">
        <f ca="1" t="shared" si="2"/>
        <v>m3</v>
      </c>
      <c r="F7" s="219">
        <f ca="1" t="shared" si="3"/>
        <v>385.5184</v>
      </c>
      <c r="G7" s="20"/>
    </row>
    <row r="8" spans="1:7" ht="12.75">
      <c r="A8" s="33">
        <v>4</v>
      </c>
      <c r="B8" s="5" t="s">
        <v>1835</v>
      </c>
      <c r="C8" s="1" t="str">
        <f ca="1" t="shared" si="0"/>
        <v>MOVIMIENTO DE TIERRA</v>
      </c>
      <c r="D8" s="1" t="str">
        <f ca="1" t="shared" si="1"/>
        <v>exc. mano y retiro de suelos (500m)</v>
      </c>
      <c r="E8" s="5" t="str">
        <f ca="1" t="shared" si="2"/>
        <v>m3</v>
      </c>
      <c r="F8" s="219">
        <f ca="1" t="shared" si="3"/>
        <v>241.1022</v>
      </c>
      <c r="G8" s="20"/>
    </row>
    <row r="9" spans="1:7" ht="12.75">
      <c r="A9" s="33">
        <v>5</v>
      </c>
      <c r="B9" s="5" t="s">
        <v>1838</v>
      </c>
      <c r="C9" s="1" t="str">
        <f ca="1" t="shared" si="0"/>
        <v>MOVIMIENTO DE TIERRA</v>
      </c>
      <c r="D9" s="1" t="str">
        <f ca="1" t="shared" si="1"/>
        <v>desm.y terrapl.a mano y máqu.</v>
      </c>
      <c r="E9" s="5" t="str">
        <f ca="1" t="shared" si="2"/>
        <v>m3</v>
      </c>
      <c r="F9" s="219">
        <f ca="1" t="shared" si="3"/>
        <v>132.941</v>
      </c>
      <c r="G9" s="20"/>
    </row>
    <row r="10" spans="1:7" ht="12.75">
      <c r="A10" s="33">
        <v>6</v>
      </c>
      <c r="B10" s="5" t="s">
        <v>14</v>
      </c>
      <c r="C10" s="1" t="str">
        <f ca="1" t="shared" si="0"/>
        <v>MOVIMIENTO DE TIERRA</v>
      </c>
      <c r="D10" s="1" t="str">
        <f ca="1" t="shared" si="1"/>
        <v>replanteo y compact. a mano</v>
      </c>
      <c r="E10" s="5" t="str">
        <f ca="1" t="shared" si="2"/>
        <v>m3</v>
      </c>
      <c r="F10" s="219">
        <f ca="1" t="shared" si="3"/>
        <v>134.8524</v>
      </c>
      <c r="G10" s="20"/>
    </row>
    <row r="11" spans="1:7" ht="12.75">
      <c r="A11" s="33">
        <v>7</v>
      </c>
      <c r="B11" s="5" t="s">
        <v>370</v>
      </c>
      <c r="C11" s="1" t="str">
        <f ca="1" t="shared" si="0"/>
        <v>MOVIMIENTO DE TIERRA</v>
      </c>
      <c r="D11" s="1" t="str">
        <f ca="1" t="shared" si="1"/>
        <v>excav. a máq. p/obras de saneamientos</v>
      </c>
      <c r="E11" s="5" t="str">
        <f ca="1" t="shared" si="2"/>
        <v>m3</v>
      </c>
      <c r="F11" s="219">
        <f ca="1" t="shared" si="3"/>
        <v>23.600590000000004</v>
      </c>
      <c r="G11" s="20"/>
    </row>
    <row r="12" spans="1:7" ht="12.75">
      <c r="A12" s="33">
        <v>8</v>
      </c>
      <c r="B12" s="5" t="s">
        <v>371</v>
      </c>
      <c r="C12" s="1" t="str">
        <f ca="1" t="shared" si="0"/>
        <v>MOVIMIENTO DE TIERRA</v>
      </c>
      <c r="D12" s="1" t="str">
        <f ca="1" t="shared" si="1"/>
        <v>relleno a máq.  p/obras de saneamientos</v>
      </c>
      <c r="E12" s="5" t="str">
        <f ca="1" t="shared" si="2"/>
        <v>m3</v>
      </c>
      <c r="F12" s="219">
        <f ca="1" t="shared" si="3"/>
        <v>7.009950000000001</v>
      </c>
      <c r="G12" s="20"/>
    </row>
    <row r="13" spans="1:7" ht="12.75">
      <c r="A13" s="33">
        <v>9</v>
      </c>
      <c r="B13" s="5" t="s">
        <v>1846</v>
      </c>
      <c r="C13" s="1" t="str">
        <f ca="1" t="shared" si="0"/>
        <v>FUNDACIONES</v>
      </c>
      <c r="D13" s="1" t="str">
        <f ca="1" t="shared" si="1"/>
        <v>Hº de limpieza - e= 5 cm</v>
      </c>
      <c r="E13" s="5" t="str">
        <f ca="1" t="shared" si="2"/>
        <v>m2</v>
      </c>
      <c r="F13" s="219">
        <f ca="1">INDIRECT("vfor_"&amp;$B13)</f>
        <v>49.11751000000001</v>
      </c>
      <c r="G13" s="20"/>
    </row>
    <row r="14" spans="1:7" ht="12.75">
      <c r="A14" s="33">
        <v>10</v>
      </c>
      <c r="B14" s="5" t="s">
        <v>1856</v>
      </c>
      <c r="C14" s="1" t="str">
        <f ca="1" t="shared" si="0"/>
        <v>FUNDACIONES</v>
      </c>
      <c r="D14" s="1" t="str">
        <f ca="1" t="shared" si="1"/>
        <v>hºaº bases aisladas</v>
      </c>
      <c r="E14" s="5" t="str">
        <f ca="1" t="shared" si="2"/>
        <v>m3</v>
      </c>
      <c r="F14" s="219">
        <f ca="1" t="shared" si="3"/>
        <v>2362.3864740000004</v>
      </c>
      <c r="G14" s="20"/>
    </row>
    <row r="15" spans="1:7" ht="12.75">
      <c r="A15" s="33">
        <v>11</v>
      </c>
      <c r="B15" s="5" t="s">
        <v>1857</v>
      </c>
      <c r="C15" s="1" t="str">
        <f ca="1" t="shared" si="0"/>
        <v>FUNDACIONES</v>
      </c>
      <c r="D15" s="1" t="str">
        <f ca="1" t="shared" si="1"/>
        <v>hºaº vigas de fundación</v>
      </c>
      <c r="E15" s="5" t="str">
        <f ca="1" t="shared" si="2"/>
        <v>m3</v>
      </c>
      <c r="F15" s="219">
        <f ca="1" t="shared" si="3"/>
        <v>3015.0185500000002</v>
      </c>
      <c r="G15" s="20"/>
    </row>
    <row r="16" spans="1:9" ht="12.75">
      <c r="A16" s="33">
        <v>12</v>
      </c>
      <c r="B16" s="5" t="s">
        <v>1866</v>
      </c>
      <c r="C16" s="1" t="str">
        <f ca="1" t="shared" si="0"/>
        <v>FUNDACIONES</v>
      </c>
      <c r="D16" s="1" t="str">
        <f ca="1" t="shared" si="1"/>
        <v>hºaº platea de fundación</v>
      </c>
      <c r="E16" s="5" t="str">
        <f ca="1" t="shared" si="2"/>
        <v>m3</v>
      </c>
      <c r="F16" s="219">
        <f ca="1" t="shared" si="3"/>
        <v>2933.449175</v>
      </c>
      <c r="G16" s="20"/>
      <c r="I16" s="1">
        <v>1744.07</v>
      </c>
    </row>
    <row r="17" spans="1:7" ht="12.75">
      <c r="A17" s="33">
        <v>13</v>
      </c>
      <c r="B17" s="5" t="s">
        <v>15</v>
      </c>
      <c r="C17" s="1" t="str">
        <f ca="1" t="shared" si="0"/>
        <v>ESTRUCTURA RESISTENTE</v>
      </c>
      <c r="D17" s="1" t="str">
        <f ca="1" t="shared" si="1"/>
        <v>estr. de Hº Aº </v>
      </c>
      <c r="E17" s="5" t="str">
        <f ca="1" t="shared" si="2"/>
        <v>m3</v>
      </c>
      <c r="F17" s="219">
        <f ca="1" t="shared" si="3"/>
        <v>4716.261165000001</v>
      </c>
      <c r="G17" s="20"/>
    </row>
    <row r="18" spans="1:7" ht="12.75">
      <c r="A18" s="33">
        <v>14</v>
      </c>
      <c r="B18" s="5" t="s">
        <v>1858</v>
      </c>
      <c r="C18" s="1" t="str">
        <f ca="1" t="shared" si="0"/>
        <v>ESTRUCTURA RESISTENTE</v>
      </c>
      <c r="D18" s="1" t="str">
        <f ca="1" t="shared" si="1"/>
        <v>estr. de Hº Aº columna resist.</v>
      </c>
      <c r="E18" s="5" t="str">
        <f ca="1" t="shared" si="2"/>
        <v>m3</v>
      </c>
      <c r="F18" s="219">
        <f ca="1" t="shared" si="3"/>
        <v>4493.393365000001</v>
      </c>
      <c r="G18" s="20"/>
    </row>
    <row r="19" spans="1:7" ht="12.75">
      <c r="A19" s="33">
        <v>15</v>
      </c>
      <c r="B19" s="5" t="s">
        <v>1859</v>
      </c>
      <c r="C19" s="1" t="str">
        <f ca="1" t="shared" si="0"/>
        <v>ESTRUCTURA RESISTENTE</v>
      </c>
      <c r="D19" s="1" t="str">
        <f ca="1" t="shared" si="1"/>
        <v>estr. de Hº Aº vigas resist.</v>
      </c>
      <c r="E19" s="5" t="str">
        <f ca="1" t="shared" si="2"/>
        <v>m3</v>
      </c>
      <c r="F19" s="219">
        <f ca="1">INDIRECT("vfor_"&amp;$B19)</f>
        <v>4295.27633</v>
      </c>
      <c r="G19" s="20"/>
    </row>
    <row r="20" spans="1:7" s="123" customFormat="1" ht="12.75">
      <c r="A20" s="144">
        <v>16</v>
      </c>
      <c r="B20" s="19" t="s">
        <v>1861</v>
      </c>
      <c r="C20" s="123" t="str">
        <f ca="1" t="shared" si="0"/>
        <v>ESTRUCTURA RESISTENTE</v>
      </c>
      <c r="D20" s="123" t="str">
        <f ca="1" t="shared" si="1"/>
        <v>estr. de Hº Aº vigas y columnas. encad .</v>
      </c>
      <c r="E20" s="19" t="str">
        <f ca="1" t="shared" si="2"/>
        <v>m3</v>
      </c>
      <c r="F20" s="219">
        <f ca="1" t="shared" si="3"/>
        <v>4640.2432</v>
      </c>
      <c r="G20" s="145"/>
    </row>
    <row r="21" spans="1:7" ht="12.75">
      <c r="A21" s="33">
        <v>17</v>
      </c>
      <c r="B21" s="5" t="s">
        <v>1862</v>
      </c>
      <c r="C21" s="1" t="str">
        <f ca="1" t="shared" si="0"/>
        <v>ESTRUCTURA RESISTENTE</v>
      </c>
      <c r="D21" s="1" t="str">
        <f ca="1" t="shared" si="1"/>
        <v>estr. de Hº Aº losa maciza e=10 cm</v>
      </c>
      <c r="E21" s="5" t="str">
        <f ca="1" t="shared" si="2"/>
        <v>m3</v>
      </c>
      <c r="F21" s="219">
        <f ca="1" t="shared" si="3"/>
        <v>3481.0681388999997</v>
      </c>
      <c r="G21" s="20"/>
    </row>
    <row r="22" spans="1:9" s="123" customFormat="1" ht="12.75">
      <c r="A22" s="144">
        <v>18</v>
      </c>
      <c r="B22" s="19" t="s">
        <v>1864</v>
      </c>
      <c r="C22" s="123" t="str">
        <f ca="1" t="shared" si="0"/>
        <v>ESTRUCTURA RESISTENTE</v>
      </c>
      <c r="D22" s="123" t="str">
        <f ca="1" t="shared" si="1"/>
        <v>estr. de Hº Aº losa cerám. aliv.c/viguetas</v>
      </c>
      <c r="E22" s="19" t="str">
        <f ca="1" t="shared" si="2"/>
        <v>m2</v>
      </c>
      <c r="F22" s="219">
        <f ca="1">INDIRECT("vfor_"&amp;$B22)</f>
        <v>528.8926250000002</v>
      </c>
      <c r="G22" s="145"/>
      <c r="I22" s="123">
        <v>342.18</v>
      </c>
    </row>
    <row r="23" spans="1:9" s="123" customFormat="1" ht="12.75">
      <c r="A23" s="144">
        <v>19</v>
      </c>
      <c r="B23" s="19" t="s">
        <v>176</v>
      </c>
      <c r="C23" s="123" t="str">
        <f ca="1" t="shared" si="0"/>
        <v>ESTRUCTURA RESISTENTE</v>
      </c>
      <c r="D23" s="123" t="str">
        <f ca="1" t="shared" si="1"/>
        <v> Hº Aº losa maciza c/encofr. Metálic</v>
      </c>
      <c r="E23" s="19" t="str">
        <f ca="1" t="shared" si="2"/>
        <v>m3</v>
      </c>
      <c r="F23" s="219">
        <f ca="1" t="shared" si="3"/>
        <v>3526.434002</v>
      </c>
      <c r="G23" s="145"/>
      <c r="I23" s="123">
        <v>2111.07</v>
      </c>
    </row>
    <row r="24" spans="1:7" ht="12.75">
      <c r="A24" s="33">
        <v>20</v>
      </c>
      <c r="B24" s="5" t="s">
        <v>376</v>
      </c>
      <c r="C24" s="1" t="str">
        <f ca="1" t="shared" si="0"/>
        <v>ESTRUCTURA RESISTENTE</v>
      </c>
      <c r="D24" s="1" t="str">
        <f ca="1">INDIRECT("dfor_"&amp;B24)</f>
        <v>estr. de Hº Aº losa maciza e=15 cm Hº visto</v>
      </c>
      <c r="E24" s="5" t="str">
        <f ca="1" t="shared" si="2"/>
        <v>m3</v>
      </c>
      <c r="F24" s="219">
        <f ca="1" t="shared" si="3"/>
        <v>3979.7351299999996</v>
      </c>
      <c r="G24" s="20"/>
    </row>
    <row r="25" spans="1:7" ht="12.75">
      <c r="A25" s="33">
        <v>21</v>
      </c>
      <c r="B25" s="5" t="s">
        <v>379</v>
      </c>
      <c r="C25" s="1" t="str">
        <f ca="1" t="shared" si="0"/>
        <v>ESTRUCTURA RESISTENTE</v>
      </c>
      <c r="D25" s="1" t="str">
        <f ca="1">INDIRECT("dfor_"&amp;B25)</f>
        <v>estr. de Hº Aº vigas resist. Hº visto</v>
      </c>
      <c r="E25" s="5" t="str">
        <f ca="1" t="shared" si="2"/>
        <v>m3</v>
      </c>
      <c r="F25" s="219">
        <f ca="1" t="shared" si="3"/>
        <v>4464.849010000001</v>
      </c>
      <c r="G25" s="20"/>
    </row>
    <row r="26" spans="1:7" ht="12.75">
      <c r="A26" s="33">
        <v>22</v>
      </c>
      <c r="B26" s="414" t="s">
        <v>381</v>
      </c>
      <c r="C26" s="1" t="str">
        <f ca="1" t="shared" si="0"/>
        <v>ESTRUCTURA RESISTENTE</v>
      </c>
      <c r="D26" s="1" t="str">
        <f ca="1">INDIRECT("dfor_"&amp;B26)</f>
        <v>estr. de Hº Aº columna resist. Hº visto</v>
      </c>
      <c r="E26" s="5" t="str">
        <f ca="1" t="shared" si="2"/>
        <v>m3</v>
      </c>
      <c r="F26" s="219">
        <f ca="1" t="shared" si="3"/>
        <v>5160.683645</v>
      </c>
      <c r="G26" s="20"/>
    </row>
    <row r="27" spans="1:7" ht="12.75">
      <c r="A27" s="33">
        <v>23</v>
      </c>
      <c r="B27" s="5" t="s">
        <v>1827</v>
      </c>
      <c r="C27" s="1" t="str">
        <f ca="1" t="shared" si="0"/>
        <v>CERRAMIENTO EXTER. E INTERIORES</v>
      </c>
      <c r="D27" s="1" t="str">
        <f ca="1" t="shared" si="1"/>
        <v>mamposter. de ladr. común 0.15 </v>
      </c>
      <c r="E27" s="5" t="str">
        <f ca="1" t="shared" si="2"/>
        <v>m2</v>
      </c>
      <c r="F27" s="219">
        <f ca="1" t="shared" si="3"/>
        <v>223.92547700000003</v>
      </c>
      <c r="G27" s="20"/>
    </row>
    <row r="28" spans="1:7" ht="12.75">
      <c r="A28" s="33">
        <v>24</v>
      </c>
      <c r="B28" s="5" t="s">
        <v>1851</v>
      </c>
      <c r="C28" s="1" t="str">
        <f ca="1" t="shared" si="0"/>
        <v>CERRAMIENTO EXTER. E INTERIORES</v>
      </c>
      <c r="D28" s="1" t="str">
        <f ca="1" t="shared" si="1"/>
        <v>mamposter. de ladr. común 0.30</v>
      </c>
      <c r="E28" s="5" t="str">
        <f ca="1" t="shared" si="2"/>
        <v>m3</v>
      </c>
      <c r="F28" s="219">
        <f ca="1" t="shared" si="3"/>
        <v>1585.813609</v>
      </c>
      <c r="G28" s="20"/>
    </row>
    <row r="29" spans="1:7" ht="12.75">
      <c r="A29" s="33">
        <v>25</v>
      </c>
      <c r="B29" s="5" t="s">
        <v>1852</v>
      </c>
      <c r="C29" s="1" t="str">
        <f ca="1" t="shared" si="0"/>
        <v>CERRAMIENTO EXTER. E INTERIORES</v>
      </c>
      <c r="D29" s="1" t="str">
        <f ca="1" t="shared" si="1"/>
        <v>mamposter. de ladr. común a la vista</v>
      </c>
      <c r="E29" s="5" t="str">
        <f ca="1" t="shared" si="2"/>
        <v>m3</v>
      </c>
      <c r="F29" s="219">
        <f ca="1" t="shared" si="3"/>
        <v>1723.2930090000002</v>
      </c>
      <c r="G29" s="20"/>
    </row>
    <row r="30" spans="1:7" ht="12.75">
      <c r="A30" s="33">
        <v>26</v>
      </c>
      <c r="B30" s="5" t="s">
        <v>1816</v>
      </c>
      <c r="C30" s="1" t="str">
        <f ca="1" t="shared" si="0"/>
        <v>CERRAMIENTO EXTER. E INTERIORES</v>
      </c>
      <c r="D30" s="1" t="str">
        <f ca="1" t="shared" si="1"/>
        <v>mamp. de ladr. Cer.  8 x 18 x 30</v>
      </c>
      <c r="E30" s="5" t="str">
        <f ca="1" t="shared" si="2"/>
        <v>m2</v>
      </c>
      <c r="F30" s="219">
        <f ca="1" t="shared" si="3"/>
        <v>127.331815</v>
      </c>
      <c r="G30" s="20"/>
    </row>
    <row r="31" spans="1:7" ht="12.75">
      <c r="A31" s="33">
        <v>27</v>
      </c>
      <c r="B31" s="5" t="s">
        <v>1825</v>
      </c>
      <c r="C31" s="1" t="str">
        <f ca="1" t="shared" si="0"/>
        <v>CERRAMIENTO EXTER. E INTERIORES</v>
      </c>
      <c r="D31" s="1" t="str">
        <f ca="1" t="shared" si="1"/>
        <v>mamp. de ladr. Cer.  12 x 18 x 30</v>
      </c>
      <c r="E31" s="5" t="str">
        <f ca="1" t="shared" si="2"/>
        <v>m2</v>
      </c>
      <c r="F31" s="219">
        <f ca="1" t="shared" si="3"/>
        <v>157.258485</v>
      </c>
      <c r="G31" s="20"/>
    </row>
    <row r="32" spans="1:7" ht="12.75">
      <c r="A32" s="33">
        <v>28</v>
      </c>
      <c r="B32" s="5" t="s">
        <v>1826</v>
      </c>
      <c r="C32" s="1" t="str">
        <f ca="1" t="shared" si="0"/>
        <v>CERRAMIENTO EXTER. E INTERIORES</v>
      </c>
      <c r="D32" s="1" t="str">
        <f ca="1" t="shared" si="1"/>
        <v>mamp. de ladr. Cer.  18 x 18 x 30</v>
      </c>
      <c r="E32" s="5" t="str">
        <f ca="1" t="shared" si="2"/>
        <v>m2</v>
      </c>
      <c r="F32" s="219">
        <f ca="1" t="shared" si="3"/>
        <v>190.817255</v>
      </c>
      <c r="G32" s="20"/>
    </row>
    <row r="33" spans="1:7" ht="12.75">
      <c r="A33" s="33">
        <v>29</v>
      </c>
      <c r="B33" s="5" t="s">
        <v>1870</v>
      </c>
      <c r="C33" s="1" t="str">
        <f ca="1" t="shared" si="0"/>
        <v>CERRAMIENTO EXTER. E INTERIORES</v>
      </c>
      <c r="D33" s="1" t="str">
        <f ca="1" t="shared" si="1"/>
        <v>mamp. de ladr. Cerr.  Portante</v>
      </c>
      <c r="E33" s="5" t="str">
        <f ca="1" t="shared" si="2"/>
        <v>m2</v>
      </c>
      <c r="F33" s="219">
        <f ca="1" t="shared" si="3"/>
        <v>187.28725500000002</v>
      </c>
      <c r="G33" s="20"/>
    </row>
    <row r="34" spans="1:7" ht="12.75">
      <c r="A34" s="33">
        <v>30</v>
      </c>
      <c r="B34" s="5" t="s">
        <v>11</v>
      </c>
      <c r="C34" s="1" t="str">
        <f ca="1" t="shared" si="0"/>
        <v>CERRAMIENTO EXTER. E INTERIORES</v>
      </c>
      <c r="D34" s="1" t="str">
        <f ca="1" t="shared" si="1"/>
        <v>muro bloque de Hº 19 x19 x 40</v>
      </c>
      <c r="E34" s="5" t="str">
        <f ca="1" t="shared" si="2"/>
        <v>m2</v>
      </c>
      <c r="F34" s="219">
        <f ca="1" t="shared" si="3"/>
        <v>260.743543</v>
      </c>
      <c r="G34" s="20"/>
    </row>
    <row r="35" spans="1:7" ht="12.75">
      <c r="A35" s="33">
        <v>31</v>
      </c>
      <c r="B35" s="5" t="s">
        <v>377</v>
      </c>
      <c r="C35" s="1" t="str">
        <f ca="1" t="shared" si="0"/>
        <v>CERRAMIENTO EXTER. E INTERIORES</v>
      </c>
      <c r="D35" s="1" t="str">
        <f ca="1" t="shared" si="1"/>
        <v>mamp. de ladr. común visto c/armad. p/Escuela</v>
      </c>
      <c r="E35" s="5" t="str">
        <f ca="1" t="shared" si="2"/>
        <v>m3</v>
      </c>
      <c r="F35" s="219">
        <f ca="1" t="shared" si="3"/>
        <v>1893.9032690000001</v>
      </c>
      <c r="G35" s="20"/>
    </row>
    <row r="36" spans="1:7" ht="12.75">
      <c r="A36" s="33">
        <v>32</v>
      </c>
      <c r="B36" s="5" t="s">
        <v>391</v>
      </c>
      <c r="C36" s="1" t="str">
        <f ca="1" t="shared" si="0"/>
        <v>CERRAMIENTO EXTER. E INTERIORES</v>
      </c>
      <c r="D36" s="1" t="str">
        <f ca="1">INDIRECT("dfor_"&amp;B36)</f>
        <v>mamp. de ladr. común visto c/armad y junta dilat</v>
      </c>
      <c r="E36" s="5" t="str">
        <f ca="1" t="shared" si="2"/>
        <v>m3</v>
      </c>
      <c r="F36" s="219">
        <f ca="1" t="shared" si="3"/>
        <v>1911.1124513800003</v>
      </c>
      <c r="G36" s="20"/>
    </row>
    <row r="37" spans="1:7" ht="12.75">
      <c r="A37" s="33">
        <v>33</v>
      </c>
      <c r="B37" s="5" t="s">
        <v>1828</v>
      </c>
      <c r="C37" s="1" t="str">
        <f ca="1" t="shared" si="0"/>
        <v>AISLACIONES</v>
      </c>
      <c r="D37" s="1" t="str">
        <f ca="1" t="shared" si="1"/>
        <v>capa aislad.de concreto e hidr.</v>
      </c>
      <c r="E37" s="5" t="str">
        <f ca="1" t="shared" si="2"/>
        <v>m2</v>
      </c>
      <c r="F37" s="219">
        <f ca="1" t="shared" si="3"/>
        <v>63.344944600000005</v>
      </c>
      <c r="G37" s="20"/>
    </row>
    <row r="38" spans="1:7" ht="12.75">
      <c r="A38" s="33">
        <v>34</v>
      </c>
      <c r="B38" s="5" t="s">
        <v>1829</v>
      </c>
      <c r="C38" s="1" t="str">
        <f ca="1" t="shared" si="0"/>
        <v>REVOQUES</v>
      </c>
      <c r="D38" s="1" t="str">
        <f ca="1" t="shared" si="1"/>
        <v>exteriores a la cal</v>
      </c>
      <c r="E38" s="5" t="str">
        <f ca="1" t="shared" si="2"/>
        <v>m2</v>
      </c>
      <c r="F38" s="219">
        <f ca="1" t="shared" si="3"/>
        <v>153.70445899999999</v>
      </c>
      <c r="G38" s="20"/>
    </row>
    <row r="39" spans="1:7" ht="12.75">
      <c r="A39" s="33">
        <v>35</v>
      </c>
      <c r="B39" s="5" t="s">
        <v>13</v>
      </c>
      <c r="C39" s="1" t="str">
        <f ca="1" t="shared" si="0"/>
        <v>REVOQUES</v>
      </c>
      <c r="D39" s="1" t="str">
        <f ca="1" t="shared" si="1"/>
        <v>grueso y fino a la cal inter.</v>
      </c>
      <c r="E39" s="5" t="str">
        <f ca="1" t="shared" si="2"/>
        <v>m2</v>
      </c>
      <c r="F39" s="219">
        <f ca="1" t="shared" si="3"/>
        <v>85.02846699999999</v>
      </c>
      <c r="G39" s="20"/>
    </row>
    <row r="40" spans="1:7" ht="12.75">
      <c r="A40" s="33">
        <v>36</v>
      </c>
      <c r="B40" s="5" t="s">
        <v>1830</v>
      </c>
      <c r="C40" s="1" t="str">
        <f ca="1" t="shared" si="0"/>
        <v>REVOQUES</v>
      </c>
      <c r="D40" s="1" t="str">
        <f ca="1" t="shared" si="1"/>
        <v>grueso reforz.b/revestimiento</v>
      </c>
      <c r="E40" s="5" t="str">
        <f ca="1" t="shared" si="2"/>
        <v>m2</v>
      </c>
      <c r="F40" s="219">
        <f ca="1" t="shared" si="3"/>
        <v>80.03835500000001</v>
      </c>
      <c r="G40" s="20"/>
    </row>
    <row r="41" spans="1:7" ht="12.75">
      <c r="A41" s="33">
        <v>37</v>
      </c>
      <c r="B41" s="5" t="s">
        <v>12</v>
      </c>
      <c r="C41" s="1" t="str">
        <f ca="1" t="shared" si="0"/>
        <v>REVOQUES</v>
      </c>
      <c r="D41" s="1" t="str">
        <f ca="1" t="shared" si="1"/>
        <v>interior de yeso s/mamp.</v>
      </c>
      <c r="E41" s="5" t="str">
        <f ca="1" t="shared" si="2"/>
        <v>m2</v>
      </c>
      <c r="F41" s="219">
        <f ca="1" t="shared" si="3"/>
        <v>144.83401</v>
      </c>
      <c r="G41" s="20"/>
    </row>
    <row r="42" spans="1:7" ht="12.75">
      <c r="A42" s="33">
        <v>38</v>
      </c>
      <c r="B42" s="5" t="s">
        <v>1689</v>
      </c>
      <c r="C42" s="1" t="str">
        <f ca="1" t="shared" si="0"/>
        <v>SOLADOS</v>
      </c>
      <c r="D42" s="1" t="str">
        <f ca="1" t="shared" si="1"/>
        <v>contrapisos de cascote</v>
      </c>
      <c r="E42" s="5" t="str">
        <f ca="1" t="shared" si="2"/>
        <v>m2</v>
      </c>
      <c r="F42" s="219">
        <f ca="1" t="shared" si="3"/>
        <v>82.61654</v>
      </c>
      <c r="G42" s="20"/>
    </row>
    <row r="43" spans="1:7" ht="12.75">
      <c r="A43" s="33">
        <v>39</v>
      </c>
      <c r="B43" s="5" t="s">
        <v>1691</v>
      </c>
      <c r="C43" s="1" t="str">
        <f ca="1" t="shared" si="0"/>
        <v>SOLADOS</v>
      </c>
      <c r="D43" s="1" t="str">
        <f ca="1" t="shared" si="1"/>
        <v>contrapisos sobre losa e=5cm</v>
      </c>
      <c r="E43" s="5" t="str">
        <f ca="1" t="shared" si="2"/>
        <v>m2</v>
      </c>
      <c r="F43" s="219">
        <f ca="1" t="shared" si="3"/>
        <v>39.25573</v>
      </c>
      <c r="G43" s="20"/>
    </row>
    <row r="44" spans="1:7" ht="12.75">
      <c r="A44" s="33">
        <v>40</v>
      </c>
      <c r="B44" s="5" t="s">
        <v>1692</v>
      </c>
      <c r="C44" s="1" t="str">
        <f ca="1" t="shared" si="4" ref="C44:C80">INDIRECT("rfor_"&amp;$B44)</f>
        <v>SOLADOS</v>
      </c>
      <c r="D44" s="1" t="str">
        <f ca="1" t="shared" si="5" ref="D44:D80">INDIRECT("dfor_"&amp;B44)</f>
        <v>mosaico granít. pulido  en obra</v>
      </c>
      <c r="E44" s="5" t="str">
        <f ca="1" t="shared" si="6" ref="E44:E80">INDIRECT("ufor_"&amp;$B44)</f>
        <v>m2</v>
      </c>
      <c r="F44" s="219">
        <f ca="1" t="shared" si="7" ref="F44:F80">INDIRECT("vfor_"&amp;$B44)</f>
        <v>285.315726</v>
      </c>
      <c r="G44" s="20"/>
    </row>
    <row r="45" spans="1:7" ht="12.75">
      <c r="A45" s="33">
        <v>41</v>
      </c>
      <c r="B45" s="5" t="s">
        <v>1693</v>
      </c>
      <c r="C45" s="1" t="str">
        <f ca="1" t="shared" si="4"/>
        <v>SOLADOS</v>
      </c>
      <c r="D45" s="1" t="str">
        <f ca="1" t="shared" si="5"/>
        <v>mosaico calcareo</v>
      </c>
      <c r="E45" s="5" t="str">
        <f ca="1" t="shared" si="6"/>
        <v>m2</v>
      </c>
      <c r="F45" s="219">
        <f ca="1" t="shared" si="7"/>
        <v>201.44955720000002</v>
      </c>
      <c r="G45" s="20"/>
    </row>
    <row r="46" spans="1:7" ht="12.75">
      <c r="A46" s="33">
        <v>42</v>
      </c>
      <c r="B46" s="5" t="s">
        <v>1694</v>
      </c>
      <c r="C46" s="1" t="str">
        <f ca="1" t="shared" si="4"/>
        <v>SOLADOS</v>
      </c>
      <c r="D46" s="1" t="str">
        <f ca="1" t="shared" si="5"/>
        <v>piso y zóc.cerám. esmaltado</v>
      </c>
      <c r="E46" s="5" t="str">
        <f ca="1" t="shared" si="6"/>
        <v>m2</v>
      </c>
      <c r="F46" s="219">
        <f ca="1" t="shared" si="7"/>
        <v>137.0691936</v>
      </c>
      <c r="G46" s="20"/>
    </row>
    <row r="47" spans="1:7" ht="12.75">
      <c r="A47" s="33">
        <v>43</v>
      </c>
      <c r="B47" s="5" t="s">
        <v>18</v>
      </c>
      <c r="C47" s="1" t="str">
        <f ca="1" t="shared" si="4"/>
        <v>SOLADOS</v>
      </c>
      <c r="D47" s="1" t="str">
        <f ca="1" t="shared" si="5"/>
        <v>piso y zóc.cerám. incl. carpeta</v>
      </c>
      <c r="E47" s="5" t="str">
        <f ca="1" t="shared" si="6"/>
        <v>m2</v>
      </c>
      <c r="F47" s="219">
        <f ca="1" t="shared" si="7"/>
        <v>182.52649000000002</v>
      </c>
      <c r="G47" s="20"/>
    </row>
    <row r="48" spans="1:7" ht="12.75">
      <c r="A48" s="33">
        <v>44</v>
      </c>
      <c r="B48" s="5" t="s">
        <v>1695</v>
      </c>
      <c r="C48" s="1" t="str">
        <f ca="1" t="shared" si="4"/>
        <v>SOLADOS</v>
      </c>
      <c r="D48" s="1" t="str">
        <f ca="1" t="shared" si="5"/>
        <v>cemento alisado term. a la llana</v>
      </c>
      <c r="E48" s="5" t="str">
        <f ca="1" t="shared" si="6"/>
        <v>m2</v>
      </c>
      <c r="F48" s="219">
        <f ca="1" t="shared" si="7"/>
        <v>102.20336099999999</v>
      </c>
      <c r="G48" s="20"/>
    </row>
    <row r="49" spans="1:7" ht="12.75">
      <c r="A49" s="33">
        <v>45</v>
      </c>
      <c r="B49" s="5" t="s">
        <v>1884</v>
      </c>
      <c r="C49" s="1" t="str">
        <f ca="1" t="shared" si="4"/>
        <v>SOLADOS</v>
      </c>
      <c r="D49" s="1" t="str">
        <f ca="1" t="shared" si="5"/>
        <v>hºsº fratazado e=10 cm</v>
      </c>
      <c r="E49" s="5" t="str">
        <f ca="1" t="shared" si="6"/>
        <v>m2</v>
      </c>
      <c r="F49" s="219">
        <f ca="1" t="shared" si="7"/>
        <v>130.38739999999999</v>
      </c>
      <c r="G49" s="20"/>
    </row>
    <row r="50" spans="1:7" ht="12.75">
      <c r="A50" s="33">
        <v>46</v>
      </c>
      <c r="B50" s="5" t="s">
        <v>1886</v>
      </c>
      <c r="C50" s="1" t="str">
        <f ca="1" t="shared" si="4"/>
        <v>SOLADOS</v>
      </c>
      <c r="D50" s="1" t="str">
        <f ca="1" t="shared" si="5"/>
        <v>hºaº fratazado e=15 cm</v>
      </c>
      <c r="E50" s="5" t="str">
        <f ca="1" t="shared" si="6"/>
        <v>m2</v>
      </c>
      <c r="F50" s="219">
        <f ca="1" t="shared" si="7"/>
        <v>221.39229</v>
      </c>
      <c r="G50" s="20"/>
    </row>
    <row r="51" spans="1:7" ht="12.75">
      <c r="A51" s="33">
        <v>47</v>
      </c>
      <c r="B51" s="5" t="s">
        <v>1696</v>
      </c>
      <c r="C51" s="1" t="str">
        <f ca="1" t="shared" si="4"/>
        <v>TECHOS</v>
      </c>
      <c r="D51" s="1" t="str">
        <f ca="1" t="shared" si="5"/>
        <v>inclinado teja - estruct. madera</v>
      </c>
      <c r="E51" s="5" t="str">
        <f ca="1" t="shared" si="6"/>
        <v>m2</v>
      </c>
      <c r="F51" s="219">
        <f ca="1" t="shared" si="7"/>
        <v>593.10688</v>
      </c>
      <c r="G51" s="20"/>
    </row>
    <row r="52" spans="1:7" ht="12.75">
      <c r="A52" s="33">
        <v>48</v>
      </c>
      <c r="B52" s="5" t="s">
        <v>196</v>
      </c>
      <c r="C52" s="1" t="str">
        <f ca="1" t="shared" si="4"/>
        <v>TECHOS</v>
      </c>
      <c r="D52" s="1" t="str">
        <f ca="1" t="shared" si="5"/>
        <v>tejas s/losa incl. Aislac.</v>
      </c>
      <c r="E52" s="5" t="str">
        <f ca="1" t="shared" si="6"/>
        <v>m2</v>
      </c>
      <c r="F52" s="219">
        <f ca="1" t="shared" si="7"/>
        <v>292.842715</v>
      </c>
      <c r="G52" s="20"/>
    </row>
    <row r="53" spans="1:7" ht="12.75">
      <c r="A53" s="33">
        <v>49</v>
      </c>
      <c r="B53" s="5" t="s">
        <v>1698</v>
      </c>
      <c r="C53" s="1" t="str">
        <f ca="1" t="shared" si="4"/>
        <v>TECHOS</v>
      </c>
      <c r="D53" s="1" t="str">
        <f ca="1" t="shared" si="5"/>
        <v>inclinado Fº Cº s/estruct. metal.</v>
      </c>
      <c r="E53" s="5" t="str">
        <f ca="1" t="shared" si="6"/>
        <v>m2</v>
      </c>
      <c r="F53" s="219">
        <f ca="1" t="shared" si="7"/>
        <v>372.98420000000004</v>
      </c>
      <c r="G53" s="20"/>
    </row>
    <row r="54" spans="1:7" ht="12.75">
      <c r="A54" s="33">
        <v>50</v>
      </c>
      <c r="B54" s="5" t="s">
        <v>1699</v>
      </c>
      <c r="C54" s="1" t="str">
        <f ca="1" t="shared" si="4"/>
        <v>TECHOS</v>
      </c>
      <c r="D54" s="1" t="str">
        <f ca="1" t="shared" si="5"/>
        <v>inclinado Hº Gº s/estruct. metal.</v>
      </c>
      <c r="E54" s="5" t="str">
        <f ca="1" t="shared" si="6"/>
        <v>m2</v>
      </c>
      <c r="F54" s="219">
        <f ca="1" t="shared" si="7"/>
        <v>336.8342</v>
      </c>
      <c r="G54" s="20"/>
    </row>
    <row r="55" spans="1:7" ht="12.75">
      <c r="A55" s="33">
        <v>51</v>
      </c>
      <c r="B55" s="5" t="s">
        <v>1700</v>
      </c>
      <c r="C55" s="1" t="str">
        <f ca="1" t="shared" si="4"/>
        <v>TECHOS</v>
      </c>
      <c r="D55" s="1" t="str">
        <f ca="1" t="shared" si="5"/>
        <v>inclinado Hº Gº s/estruct. madera</v>
      </c>
      <c r="E55" s="5" t="str">
        <f ca="1" t="shared" si="6"/>
        <v>m2</v>
      </c>
      <c r="F55" s="219">
        <f ca="1" t="shared" si="7"/>
        <v>323.87570000000005</v>
      </c>
      <c r="G55" s="20"/>
    </row>
    <row r="56" spans="1:8" ht="12.75">
      <c r="A56" s="33">
        <v>52</v>
      </c>
      <c r="B56" s="5" t="s">
        <v>1701</v>
      </c>
      <c r="C56" s="1" t="str">
        <f ca="1" t="shared" si="4"/>
        <v>TECHOS</v>
      </c>
      <c r="D56" s="1" t="str">
        <f ca="1" t="shared" si="5"/>
        <v>plano c/aislación s/losa</v>
      </c>
      <c r="E56" s="5" t="str">
        <f ca="1" t="shared" si="6"/>
        <v>m2</v>
      </c>
      <c r="F56" s="219">
        <f ca="1" t="shared" si="7"/>
        <v>1735.4797199999998</v>
      </c>
      <c r="G56" s="20"/>
      <c r="H56" s="20"/>
    </row>
    <row r="57" spans="1:7" ht="12.75">
      <c r="A57" s="33">
        <v>53</v>
      </c>
      <c r="B57" s="5" t="s">
        <v>1702</v>
      </c>
      <c r="C57" s="1" t="str">
        <f ca="1" t="shared" si="4"/>
        <v>TECHOS</v>
      </c>
      <c r="D57" s="1" t="str">
        <f ca="1" t="shared" si="5"/>
        <v>losa aliv. vigueta cerámica</v>
      </c>
      <c r="E57" s="5" t="str">
        <f ca="1" t="shared" si="6"/>
        <v>m2</v>
      </c>
      <c r="F57" s="219">
        <f ca="1" t="shared" si="7"/>
        <v>546.5247700000001</v>
      </c>
      <c r="G57" s="20"/>
    </row>
    <row r="58" spans="1:7" ht="12.75">
      <c r="A58" s="33">
        <v>54</v>
      </c>
      <c r="B58" s="5" t="s">
        <v>385</v>
      </c>
      <c r="C58" s="1" t="str">
        <f ca="1" t="shared" si="4"/>
        <v>TECHOS</v>
      </c>
      <c r="D58" s="1" t="str">
        <f ca="1" t="shared" si="5"/>
        <v>inclinado Policarb. s/estruct. metal.</v>
      </c>
      <c r="E58" s="5" t="str">
        <f ca="1" t="shared" si="6"/>
        <v>m2</v>
      </c>
      <c r="F58" s="219">
        <f ca="1" t="shared" si="7"/>
        <v>339.33570000000003</v>
      </c>
      <c r="G58" s="20"/>
    </row>
    <row r="59" spans="1:7" ht="12.75">
      <c r="A59" s="33">
        <v>55</v>
      </c>
      <c r="B59" s="5" t="s">
        <v>1703</v>
      </c>
      <c r="C59" s="1" t="str">
        <f ca="1" t="shared" si="4"/>
        <v>CIELORRASOS</v>
      </c>
      <c r="D59" s="1" t="str">
        <f ca="1" t="shared" si="5"/>
        <v>suspendido a la cal</v>
      </c>
      <c r="E59" s="5" t="str">
        <f ca="1" t="shared" si="6"/>
        <v>m2</v>
      </c>
      <c r="F59" s="219">
        <f ca="1" t="shared" si="7"/>
        <v>263.53188700000004</v>
      </c>
      <c r="G59" s="20"/>
    </row>
    <row r="60" spans="1:7" ht="12.75">
      <c r="A60" s="33">
        <v>56</v>
      </c>
      <c r="B60" s="5" t="s">
        <v>1705</v>
      </c>
      <c r="C60" s="1" t="str">
        <f ca="1" t="shared" si="4"/>
        <v>CIELORRASOS</v>
      </c>
      <c r="D60" s="1" t="str">
        <f ca="1" t="shared" si="5"/>
        <v>suspendido de yeso</v>
      </c>
      <c r="E60" s="5" t="str">
        <f ca="1" t="shared" si="6"/>
        <v>m2</v>
      </c>
      <c r="F60" s="219">
        <f ca="1" t="shared" si="7"/>
        <v>317.88796700000006</v>
      </c>
      <c r="G60" s="20"/>
    </row>
    <row r="61" spans="1:7" ht="12.75">
      <c r="A61" s="33">
        <v>57</v>
      </c>
      <c r="B61" s="5" t="s">
        <v>1706</v>
      </c>
      <c r="C61" s="1" t="str">
        <f ca="1" t="shared" si="4"/>
        <v>CIELORRASOS</v>
      </c>
      <c r="D61" s="1" t="str">
        <f ca="1" t="shared" si="5"/>
        <v>suspendido de madera machimbrada</v>
      </c>
      <c r="E61" s="5" t="str">
        <f ca="1" t="shared" si="6"/>
        <v>m2</v>
      </c>
      <c r="F61" s="219">
        <f ca="1" t="shared" si="7"/>
        <v>252.41485999999998</v>
      </c>
      <c r="G61" s="20"/>
    </row>
    <row r="62" spans="1:7" ht="12.75">
      <c r="A62" s="33">
        <v>58</v>
      </c>
      <c r="B62" s="5" t="s">
        <v>1707</v>
      </c>
      <c r="C62" s="1" t="str">
        <f ca="1" t="shared" si="4"/>
        <v>CIELORRASOS</v>
      </c>
      <c r="D62" s="1" t="str">
        <f ca="1" t="shared" si="5"/>
        <v>suspendido tablero de yeso</v>
      </c>
      <c r="E62" s="5" t="str">
        <f ca="1" t="shared" si="6"/>
        <v>m2</v>
      </c>
      <c r="F62" s="219">
        <f ca="1" t="shared" si="7"/>
        <v>267.1511300000001</v>
      </c>
      <c r="G62" s="20"/>
    </row>
    <row r="63" spans="1:7" s="123" customFormat="1" ht="12.75">
      <c r="A63" s="144">
        <v>59</v>
      </c>
      <c r="B63" s="19" t="s">
        <v>1708</v>
      </c>
      <c r="C63" s="123" t="str">
        <f ca="1" t="shared" si="4"/>
        <v>CIELORRASOS</v>
      </c>
      <c r="D63" s="123" t="str">
        <f ca="1" t="shared" si="5"/>
        <v>aplicado grueso y fino a la cal</v>
      </c>
      <c r="E63" s="19" t="str">
        <f ca="1" t="shared" si="6"/>
        <v>m2</v>
      </c>
      <c r="F63" s="219">
        <f ca="1" t="shared" si="7"/>
        <v>126.48521500000001</v>
      </c>
      <c r="G63" s="145"/>
    </row>
    <row r="64" spans="1:7" ht="12.75">
      <c r="A64" s="33">
        <v>60</v>
      </c>
      <c r="B64" s="5" t="s">
        <v>197</v>
      </c>
      <c r="C64" s="1" t="str">
        <f ca="1" t="shared" si="4"/>
        <v>CIELORRASOS</v>
      </c>
      <c r="D64" s="1" t="str">
        <f ca="1" t="shared" si="5"/>
        <v>aplicado de yeso</v>
      </c>
      <c r="E64" s="5" t="str">
        <f ca="1" t="shared" si="6"/>
        <v>m2</v>
      </c>
      <c r="F64" s="219">
        <f ca="1" t="shared" si="7"/>
        <v>178.61937200000003</v>
      </c>
      <c r="G64" s="20"/>
    </row>
    <row r="65" spans="1:7" ht="12.75">
      <c r="A65" s="33">
        <v>61</v>
      </c>
      <c r="B65" s="5" t="s">
        <v>394</v>
      </c>
      <c r="C65" s="1" t="str">
        <f ca="1" t="shared" si="4"/>
        <v>CIELORRASOS</v>
      </c>
      <c r="D65" s="1" t="str">
        <f ca="1" t="shared" si="5"/>
        <v>suspendido termoacustico</v>
      </c>
      <c r="E65" s="5" t="str">
        <f ca="1" t="shared" si="6"/>
        <v>m2</v>
      </c>
      <c r="F65" s="219">
        <f ca="1" t="shared" si="7"/>
        <v>221.97204</v>
      </c>
      <c r="G65" s="20"/>
    </row>
    <row r="66" spans="1:7" ht="12.75">
      <c r="A66" s="33">
        <v>62</v>
      </c>
      <c r="B66" s="5" t="s">
        <v>1709</v>
      </c>
      <c r="C66" s="1" t="str">
        <f ca="1" t="shared" si="4"/>
        <v>REVESTIMIENTOS</v>
      </c>
      <c r="D66" s="1" t="str">
        <f ca="1" t="shared" si="5"/>
        <v>exterior proyectable</v>
      </c>
      <c r="E66" s="5" t="str">
        <f ca="1" t="shared" si="6"/>
        <v>m2</v>
      </c>
      <c r="F66" s="219">
        <f ca="1" t="shared" si="7"/>
        <v>33.32526</v>
      </c>
      <c r="G66" s="20"/>
    </row>
    <row r="67" spans="1:7" ht="12.75">
      <c r="A67" s="33">
        <v>63</v>
      </c>
      <c r="B67" s="5" t="s">
        <v>1711</v>
      </c>
      <c r="C67" s="1" t="str">
        <f ca="1" t="shared" si="4"/>
        <v>REVESTIMIENTOS</v>
      </c>
      <c r="D67" s="1" t="str">
        <f ca="1" t="shared" si="5"/>
        <v>azulejos</v>
      </c>
      <c r="E67" s="5" t="str">
        <f ca="1" t="shared" si="6"/>
        <v>m2</v>
      </c>
      <c r="F67" s="219">
        <f ca="1" t="shared" si="7"/>
        <v>154.06815</v>
      </c>
      <c r="G67" s="20"/>
    </row>
    <row r="68" spans="1:8" ht="12.75">
      <c r="A68" s="33">
        <v>64</v>
      </c>
      <c r="B68" s="5" t="s">
        <v>1712</v>
      </c>
      <c r="C68" s="1" t="str">
        <f ca="1" t="shared" si="4"/>
        <v>CARPINTERIA</v>
      </c>
      <c r="D68" s="1" t="str">
        <f ca="1" t="shared" si="5"/>
        <v>metal. y madera viv. unifamiliar</v>
      </c>
      <c r="E68" s="5" t="str">
        <f ca="1" t="shared" si="6"/>
        <v>gl</v>
      </c>
      <c r="F68" s="219">
        <f ca="1" t="shared" si="7"/>
        <v>13393.03572</v>
      </c>
      <c r="G68" s="20"/>
      <c r="H68" s="20"/>
    </row>
    <row r="69" spans="1:8" ht="12.75">
      <c r="A69" s="33">
        <v>65</v>
      </c>
      <c r="B69" s="5" t="s">
        <v>1817</v>
      </c>
      <c r="C69" s="1" t="str">
        <f ca="1" t="shared" si="4"/>
        <v>CARPINTERIA</v>
      </c>
      <c r="D69" s="1" t="str">
        <f ca="1" t="shared" si="5"/>
        <v>metalica viv. unifamiliar</v>
      </c>
      <c r="E69" s="5" t="str">
        <f ca="1" t="shared" si="6"/>
        <v>gl</v>
      </c>
      <c r="F69" s="219">
        <f ca="1" t="shared" si="7"/>
        <v>7233.2570000000005</v>
      </c>
      <c r="G69" s="20"/>
      <c r="H69" s="20"/>
    </row>
    <row r="70" spans="1:7" ht="12.75">
      <c r="A70" s="33">
        <v>66</v>
      </c>
      <c r="B70" s="5" t="s">
        <v>1819</v>
      </c>
      <c r="C70" s="1" t="str">
        <f ca="1" t="shared" si="4"/>
        <v>CARPINTERIA</v>
      </c>
      <c r="D70" s="1" t="str">
        <f ca="1" t="shared" si="5"/>
        <v>madera viv. unifamiliar</v>
      </c>
      <c r="E70" s="5" t="str">
        <f ca="1" t="shared" si="6"/>
        <v>gl</v>
      </c>
      <c r="F70" s="219">
        <f ca="1" t="shared" si="7"/>
        <v>6040.2662</v>
      </c>
      <c r="G70" s="20"/>
    </row>
    <row r="71" spans="1:7" ht="12.75">
      <c r="A71" s="33">
        <v>67</v>
      </c>
      <c r="B71" s="5" t="s">
        <v>338</v>
      </c>
      <c r="C71" s="1" t="str">
        <f ca="1" t="shared" si="4"/>
        <v>CARPINTERIA</v>
      </c>
      <c r="D71" s="1" t="str">
        <f ca="1" t="shared" si="5"/>
        <v>madera viv. Unifamiliar incl equipam.</v>
      </c>
      <c r="E71" s="5" t="str">
        <f ca="1" t="shared" si="6"/>
        <v>gl</v>
      </c>
      <c r="F71" s="219">
        <f ca="1" t="shared" si="7"/>
        <v>13558.1862</v>
      </c>
      <c r="G71" s="20"/>
    </row>
    <row r="72" spans="1:7" ht="12.75">
      <c r="A72" s="33">
        <v>68</v>
      </c>
      <c r="B72" s="5" t="s">
        <v>353</v>
      </c>
      <c r="C72" s="1" t="str">
        <f ca="1" t="shared" si="4"/>
        <v>CARPINTERIA</v>
      </c>
      <c r="D72" s="1" t="str">
        <f ca="1">INDIRECT("dfor_"&amp;B72)</f>
        <v>metalica por edificio</v>
      </c>
      <c r="E72" s="5" t="str">
        <f ca="1" t="shared" si="6"/>
        <v>gl</v>
      </c>
      <c r="F72" s="219">
        <f ca="1" t="shared" si="7"/>
        <v>114349.46190000001</v>
      </c>
      <c r="G72" s="20"/>
    </row>
    <row r="73" spans="1:7" ht="12.75">
      <c r="A73" s="33">
        <v>69</v>
      </c>
      <c r="B73" s="5" t="s">
        <v>356</v>
      </c>
      <c r="C73" s="1" t="str">
        <f ca="1" t="shared" si="4"/>
        <v>CARPINTERIA</v>
      </c>
      <c r="D73" s="1" t="str">
        <f ca="1">INDIRECT("dfor_"&amp;B73)</f>
        <v>madera por edificio</v>
      </c>
      <c r="E73" s="5" t="str">
        <f ca="1" t="shared" si="6"/>
        <v>gl</v>
      </c>
      <c r="F73" s="219">
        <f ca="1" t="shared" si="7"/>
        <v>54756.4448</v>
      </c>
      <c r="G73" s="20"/>
    </row>
    <row r="74" spans="1:7" ht="12.75">
      <c r="A74" s="33">
        <v>70</v>
      </c>
      <c r="B74" s="5" t="s">
        <v>1841</v>
      </c>
      <c r="C74" s="1" t="str">
        <f ca="1" t="shared" si="4"/>
        <v>INSTALACION AGUA CALIENTE Y FRIA</v>
      </c>
      <c r="D74" s="1" t="str">
        <f ca="1" t="shared" si="5"/>
        <v>conexión agua p/vivienda unifam.</v>
      </c>
      <c r="E74" s="5" t="str">
        <f ca="1" t="shared" si="6"/>
        <v>gl</v>
      </c>
      <c r="F74" s="219">
        <f ca="1" t="shared" si="7"/>
        <v>2011.6046450000001</v>
      </c>
      <c r="G74" s="20"/>
    </row>
    <row r="75" spans="1:7" ht="12.75">
      <c r="A75" s="33">
        <v>71</v>
      </c>
      <c r="B75" s="5" t="s">
        <v>1878</v>
      </c>
      <c r="C75" s="1" t="str">
        <f ca="1" t="shared" si="4"/>
        <v>INSTALACION AGUA CALIENTE Y FRIA</v>
      </c>
      <c r="D75" s="1" t="str">
        <f ca="1" t="shared" si="5"/>
        <v>vivienda unifamiliar sin conex.</v>
      </c>
      <c r="E75" s="5" t="str">
        <f ca="1" t="shared" si="6"/>
        <v>gl</v>
      </c>
      <c r="F75" s="219">
        <f ca="1" t="shared" si="7"/>
        <v>4922.49</v>
      </c>
      <c r="G75" s="20"/>
    </row>
    <row r="76" spans="1:7" ht="12.75">
      <c r="A76" s="33">
        <v>72</v>
      </c>
      <c r="B76" s="5" t="s">
        <v>1880</v>
      </c>
      <c r="C76" s="1" t="str">
        <f ca="1" t="shared" si="4"/>
        <v>INSTALACION AGUA CALIENTE Y FRIA</v>
      </c>
      <c r="D76" s="1" t="str">
        <f ca="1" t="shared" si="5"/>
        <v>vivienda unifamiliar c/conexión</v>
      </c>
      <c r="E76" s="5" t="str">
        <f ca="1" t="shared" si="6"/>
        <v>gl</v>
      </c>
      <c r="F76" s="219">
        <f ca="1" t="shared" si="7"/>
        <v>6934.094645</v>
      </c>
      <c r="G76" s="20"/>
    </row>
    <row r="77" spans="1:7" ht="12.75">
      <c r="A77" s="33">
        <v>73</v>
      </c>
      <c r="B77" s="5" t="s">
        <v>1715</v>
      </c>
      <c r="C77" s="1" t="str">
        <f ca="1" t="shared" si="4"/>
        <v>INSTALACION AGUA CALIENTE Y FRIA</v>
      </c>
      <c r="D77" s="1" t="str">
        <f ca="1" t="shared" si="5"/>
        <v>vivienda colectiva s/conexión</v>
      </c>
      <c r="E77" s="5" t="str">
        <f ca="1" t="shared" si="6"/>
        <v>gl</v>
      </c>
      <c r="F77" s="219">
        <f ca="1" t="shared" si="7"/>
        <v>21417.2462117</v>
      </c>
      <c r="G77" s="20"/>
    </row>
    <row r="78" spans="1:7" ht="12.75">
      <c r="A78" s="33">
        <v>74</v>
      </c>
      <c r="B78" s="5" t="s">
        <v>1843</v>
      </c>
      <c r="C78" s="1" t="str">
        <f ca="1" t="shared" si="4"/>
        <v>ARTEFACTOS SANITARIOS Y GRIFERIA</v>
      </c>
      <c r="D78" s="1" t="str">
        <f ca="1" t="shared" si="5"/>
        <v>artefactos sanit.y grifer. Viv. Unifam.</v>
      </c>
      <c r="E78" s="5" t="str">
        <f ca="1" t="shared" si="6"/>
        <v>gl</v>
      </c>
      <c r="F78" s="219">
        <f ca="1" t="shared" si="7"/>
        <v>6834.013250000002</v>
      </c>
      <c r="G78" s="20"/>
    </row>
    <row r="79" spans="1:7" ht="12.75">
      <c r="A79" s="33">
        <v>75</v>
      </c>
      <c r="B79" s="5" t="s">
        <v>359</v>
      </c>
      <c r="C79" s="1" t="str">
        <f ca="1" t="shared" si="4"/>
        <v>ARTEFACTOS SANITARIOS Y GRIFERIA</v>
      </c>
      <c r="D79" s="1" t="str">
        <f ca="1" t="shared" si="5"/>
        <v>artefactos sanit.y grifer. Viv. Colectiva</v>
      </c>
      <c r="E79" s="5" t="str">
        <f ca="1" t="shared" si="6"/>
        <v>gl</v>
      </c>
      <c r="F79" s="219">
        <f ca="1" t="shared" si="7"/>
        <v>45951.086970000004</v>
      </c>
      <c r="G79" s="20"/>
    </row>
    <row r="80" spans="1:7" ht="12.75">
      <c r="A80" s="33">
        <v>76</v>
      </c>
      <c r="B80" s="5" t="s">
        <v>1887</v>
      </c>
      <c r="C80" s="1" t="str">
        <f ca="1" t="shared" si="4"/>
        <v>DESAGUES CLOACALES Y PLUVIALES</v>
      </c>
      <c r="D80" s="1" t="str">
        <f ca="1" t="shared" si="5"/>
        <v>PVC vivienda indiv. S/ conexión a red</v>
      </c>
      <c r="E80" s="5" t="str">
        <f ca="1" t="shared" si="6"/>
        <v>gl</v>
      </c>
      <c r="F80" s="219">
        <f ca="1" t="shared" si="7"/>
        <v>6348.709575</v>
      </c>
      <c r="G80" s="20"/>
    </row>
    <row r="81" spans="1:7" ht="12.75">
      <c r="A81" s="33">
        <v>77</v>
      </c>
      <c r="B81" s="5" t="s">
        <v>1881</v>
      </c>
      <c r="C81" s="1" t="str">
        <f ca="1" t="shared" si="8" ref="C81:C117">INDIRECT("rfor_"&amp;$B81)</f>
        <v>DESAGUES CLOACALES Y PLUVIALES</v>
      </c>
      <c r="D81" s="1" t="str">
        <f ca="1" t="shared" si="9" ref="D81:D117">INDIRECT("dfor_"&amp;B81)</f>
        <v>PVC viv. Unifam. C/conexión a red</v>
      </c>
      <c r="E81" s="5" t="str">
        <f ca="1" t="shared" si="10" ref="E81:E117">INDIRECT("ufor_"&amp;$B81)</f>
        <v>gl</v>
      </c>
      <c r="F81" s="219">
        <f ca="1" t="shared" si="11" ref="F81:F117">INDIRECT("vfor_"&amp;$B81)</f>
        <v>8151.004983000001</v>
      </c>
      <c r="G81" s="20"/>
    </row>
    <row r="82" spans="1:7" ht="12.75">
      <c r="A82" s="33">
        <v>78</v>
      </c>
      <c r="B82" s="5" t="s">
        <v>181</v>
      </c>
      <c r="C82" s="1" t="str">
        <f ca="1" t="shared" si="8"/>
        <v>DESAGUES CLOACALES Y PLUVIALES</v>
      </c>
      <c r="D82" s="1" t="str">
        <f ca="1" t="shared" si="9"/>
        <v>PVC viv. Unifam. Conexión a red</v>
      </c>
      <c r="E82" s="5" t="str">
        <f ca="1" t="shared" si="10"/>
        <v>gl</v>
      </c>
      <c r="F82" s="219">
        <f ca="1" t="shared" si="11"/>
        <v>1802.2954080000004</v>
      </c>
      <c r="G82" s="20"/>
    </row>
    <row r="83" spans="1:7" ht="12.75">
      <c r="A83" s="33">
        <v>79</v>
      </c>
      <c r="B83" s="5" t="s">
        <v>329</v>
      </c>
      <c r="C83" s="1" t="str">
        <f ca="1" t="shared" si="8"/>
        <v>DESAGUES CLOACALES Y PLUVIALES</v>
      </c>
      <c r="D83" s="1" t="str">
        <f ca="1" t="shared" si="9"/>
        <v>pozo absorb y camara sep. Viv. unifam.</v>
      </c>
      <c r="E83" s="5" t="str">
        <f ca="1" t="shared" si="10"/>
        <v>gl</v>
      </c>
      <c r="F83" s="219">
        <f ca="1" t="shared" si="11"/>
        <v>11754.769300000002</v>
      </c>
      <c r="G83" s="20"/>
    </row>
    <row r="84" spans="1:7" ht="12.75">
      <c r="A84" s="33">
        <v>80</v>
      </c>
      <c r="B84" s="5" t="s">
        <v>360</v>
      </c>
      <c r="C84" s="1" t="str">
        <f ca="1" t="shared" si="8"/>
        <v>DESAGUES CLOACALES Y PLUVIALES</v>
      </c>
      <c r="D84" s="1" t="str">
        <f ca="1" t="shared" si="9"/>
        <v>PVC vivienda Colectiva. s/ conexión a red</v>
      </c>
      <c r="E84" s="5" t="str">
        <f ca="1" t="shared" si="10"/>
        <v>gl</v>
      </c>
      <c r="F84" s="219">
        <f ca="1" t="shared" si="11"/>
        <v>20919.084425100005</v>
      </c>
      <c r="G84" s="20"/>
    </row>
    <row r="85" spans="1:7" ht="12.75">
      <c r="A85" s="33">
        <v>81</v>
      </c>
      <c r="B85" s="5" t="s">
        <v>1719</v>
      </c>
      <c r="C85" s="1" t="str">
        <f ca="1" t="shared" si="8"/>
        <v>INSTALACION DE GAS</v>
      </c>
      <c r="D85" s="1" t="str">
        <f ca="1" t="shared" si="9"/>
        <v>Epoxi viv. Unifamiliar p/gas env.</v>
      </c>
      <c r="E85" s="5" t="str">
        <f ca="1" t="shared" si="10"/>
        <v>gl</v>
      </c>
      <c r="F85" s="219">
        <f ca="1" t="shared" si="11"/>
        <v>5158.493469000001</v>
      </c>
      <c r="G85" s="20"/>
    </row>
    <row r="86" spans="1:7" ht="12.75">
      <c r="A86" s="33">
        <v>82</v>
      </c>
      <c r="B86" s="5" t="s">
        <v>1844</v>
      </c>
      <c r="C86" s="1" t="str">
        <f ca="1" t="shared" si="8"/>
        <v>INSTALACION DE GAS</v>
      </c>
      <c r="D86" s="1" t="str">
        <f ca="1" t="shared" si="9"/>
        <v>Epoxi viv. Unifamiliar a red</v>
      </c>
      <c r="E86" s="5" t="str">
        <f ca="1" t="shared" si="10"/>
        <v>gl</v>
      </c>
      <c r="F86" s="219">
        <f ca="1" t="shared" si="11"/>
        <v>6000.393041</v>
      </c>
      <c r="G86" s="20"/>
    </row>
    <row r="87" spans="1:7" ht="12.75">
      <c r="A87" s="33">
        <v>83</v>
      </c>
      <c r="B87" s="5" t="s">
        <v>340</v>
      </c>
      <c r="C87" s="1" t="str">
        <f ca="1" t="shared" si="8"/>
        <v>INSTALACION DE GAS</v>
      </c>
      <c r="D87" s="1" t="str">
        <f ca="1" t="shared" si="9"/>
        <v>Epoxi viv. Unifamiliar a red c/artefactos</v>
      </c>
      <c r="E87" s="5" t="str">
        <f ca="1" t="shared" si="10"/>
        <v>gl</v>
      </c>
      <c r="F87" s="219">
        <f ca="1" t="shared" si="11"/>
        <v>11580.879240999999</v>
      </c>
      <c r="G87" s="20"/>
    </row>
    <row r="88" spans="1:7" ht="12.75">
      <c r="A88" s="33">
        <v>84</v>
      </c>
      <c r="B88" s="5" t="s">
        <v>1720</v>
      </c>
      <c r="C88" s="1" t="str">
        <f ca="1" t="shared" si="8"/>
        <v>INSTALACION DE GAS</v>
      </c>
      <c r="D88" s="1" t="str">
        <f ca="1" t="shared" si="9"/>
        <v>HºNº vivienda colectiva</v>
      </c>
      <c r="E88" s="5" t="str">
        <f ca="1" t="shared" si="10"/>
        <v>gl</v>
      </c>
      <c r="F88" s="219">
        <f ca="1" t="shared" si="11"/>
        <v>88405.94108240001</v>
      </c>
      <c r="G88" s="20"/>
    </row>
    <row r="89" spans="1:7" ht="12.75">
      <c r="A89" s="33">
        <v>85</v>
      </c>
      <c r="B89" s="5" t="s">
        <v>1721</v>
      </c>
      <c r="C89" s="1" t="str">
        <f ca="1" t="shared" si="8"/>
        <v>ARTEFACTOS DE GAS</v>
      </c>
      <c r="D89" s="1" t="str">
        <f ca="1" t="shared" si="9"/>
        <v>Artefactos de gas y acces.</v>
      </c>
      <c r="E89" s="5" t="str">
        <f ca="1" t="shared" si="10"/>
        <v>gl</v>
      </c>
      <c r="F89" s="219">
        <f ca="1" t="shared" si="11"/>
        <v>5560.4394</v>
      </c>
      <c r="G89" s="20"/>
    </row>
    <row r="90" spans="1:7" s="123" customFormat="1" ht="12.75">
      <c r="A90" s="144">
        <v>86</v>
      </c>
      <c r="B90" s="19" t="s">
        <v>1723</v>
      </c>
      <c r="C90" s="123" t="str">
        <f ca="1" t="shared" si="8"/>
        <v>INSTALACION ELECTRICA</v>
      </c>
      <c r="D90" s="123" t="str">
        <f ca="1" t="shared" si="9"/>
        <v>Viv. unifamiliar 3 dorm.</v>
      </c>
      <c r="E90" s="19" t="str">
        <f ca="1" t="shared" si="10"/>
        <v>gl</v>
      </c>
      <c r="F90" s="219">
        <f ca="1" t="shared" si="11"/>
        <v>6801.556855000001</v>
      </c>
      <c r="G90" s="145"/>
    </row>
    <row r="91" spans="1:7" ht="12.75">
      <c r="A91" s="33">
        <v>87</v>
      </c>
      <c r="B91" s="5" t="s">
        <v>1725</v>
      </c>
      <c r="C91" s="1" t="str">
        <f ca="1" t="shared" si="8"/>
        <v>INSTALACION ELECTRICA</v>
      </c>
      <c r="D91" s="1" t="str">
        <f ca="1" t="shared" si="9"/>
        <v>Vivienda colectiva completa</v>
      </c>
      <c r="E91" s="5" t="str">
        <f ca="1" t="shared" si="10"/>
        <v>gl</v>
      </c>
      <c r="F91" s="219">
        <f ca="1" t="shared" si="11"/>
        <v>97594.8788475</v>
      </c>
      <c r="G91" s="20"/>
    </row>
    <row r="92" spans="1:7" ht="12.75">
      <c r="A92" s="33">
        <v>88</v>
      </c>
      <c r="B92" s="5" t="s">
        <v>1876</v>
      </c>
      <c r="C92" s="1" t="str">
        <f ca="1" t="shared" si="8"/>
        <v>INSTALACION ELECTRICA</v>
      </c>
      <c r="D92" s="1" t="str">
        <f ca="1" t="shared" si="9"/>
        <v>Viv. Unifamiliar c/acomet. a pilar</v>
      </c>
      <c r="E92" s="5" t="str">
        <f ca="1" t="shared" si="10"/>
        <v>gl</v>
      </c>
      <c r="F92" s="219">
        <f ca="1" t="shared" si="11"/>
        <v>7304.292592000001</v>
      </c>
      <c r="G92" s="20"/>
    </row>
    <row r="93" spans="1:7" ht="12.75">
      <c r="A93" s="33">
        <v>89</v>
      </c>
      <c r="B93" s="5" t="s">
        <v>1726</v>
      </c>
      <c r="C93" s="1" t="str">
        <f ca="1" t="shared" si="8"/>
        <v>PINTURA</v>
      </c>
      <c r="D93" s="1" t="str">
        <f ca="1" t="shared" si="9"/>
        <v>pintura al látex</v>
      </c>
      <c r="E93" s="5" t="str">
        <f ca="1" t="shared" si="10"/>
        <v>m2</v>
      </c>
      <c r="F93" s="219">
        <f ca="1" t="shared" si="11"/>
        <v>51.34661125000001</v>
      </c>
      <c r="G93" s="20"/>
    </row>
    <row r="94" spans="1:7" ht="12.75">
      <c r="A94" s="33">
        <v>90</v>
      </c>
      <c r="B94" s="5" t="s">
        <v>1728</v>
      </c>
      <c r="C94" s="1" t="str">
        <f ca="1" t="shared" si="8"/>
        <v>PINTURA</v>
      </c>
      <c r="D94" s="1" t="str">
        <f ca="1" t="shared" si="9"/>
        <v>pintura a la cal</v>
      </c>
      <c r="E94" s="5" t="str">
        <f ca="1" t="shared" si="10"/>
        <v>m2</v>
      </c>
      <c r="F94" s="219">
        <f ca="1" t="shared" si="11"/>
        <v>15.904985</v>
      </c>
      <c r="G94" s="20"/>
    </row>
    <row r="95" spans="1:7" ht="12.75">
      <c r="A95" s="33">
        <v>91</v>
      </c>
      <c r="B95" s="5" t="s">
        <v>1729</v>
      </c>
      <c r="C95" s="1" t="str">
        <f ca="1" t="shared" si="8"/>
        <v>PINTURA</v>
      </c>
      <c r="D95" s="1" t="str">
        <f ca="1" t="shared" si="9"/>
        <v>pintura al agua</v>
      </c>
      <c r="E95" s="5" t="str">
        <f ca="1" t="shared" si="10"/>
        <v>m2</v>
      </c>
      <c r="F95" s="219">
        <f ca="1" t="shared" si="11"/>
        <v>17.016237500000003</v>
      </c>
      <c r="G95" s="20"/>
    </row>
    <row r="96" spans="1:7" ht="12.75">
      <c r="A96" s="33">
        <v>92</v>
      </c>
      <c r="B96" s="5" t="s">
        <v>1782</v>
      </c>
      <c r="C96" s="1" t="str">
        <f ca="1" t="shared" si="8"/>
        <v>PINTURA</v>
      </c>
      <c r="D96" s="1" t="str">
        <f ca="1" t="shared" si="9"/>
        <v>en carpintería metál.y de madera</v>
      </c>
      <c r="E96" s="5" t="str">
        <f ca="1" t="shared" si="10"/>
        <v>m2</v>
      </c>
      <c r="F96" s="219">
        <f ca="1" t="shared" si="11"/>
        <v>63.903541999999995</v>
      </c>
      <c r="G96" s="20"/>
    </row>
    <row r="97" spans="1:7" ht="12.75">
      <c r="A97" s="33">
        <v>93</v>
      </c>
      <c r="B97" s="5" t="s">
        <v>186</v>
      </c>
      <c r="C97" s="1" t="str">
        <f ca="1" t="shared" si="8"/>
        <v>PINTURA</v>
      </c>
      <c r="D97" s="1" t="str">
        <f ca="1" t="shared" si="9"/>
        <v>en carpintería  de madera</v>
      </c>
      <c r="E97" s="5" t="str">
        <f ca="1" t="shared" si="10"/>
        <v>m2</v>
      </c>
      <c r="F97" s="219">
        <f ca="1" t="shared" si="11"/>
        <v>41.145497000000006</v>
      </c>
      <c r="G97" s="20"/>
    </row>
    <row r="98" spans="1:7" ht="12.75">
      <c r="A98" s="33">
        <v>94</v>
      </c>
      <c r="B98" s="5" t="s">
        <v>187</v>
      </c>
      <c r="C98" s="1" t="str">
        <f ca="1" t="shared" si="8"/>
        <v>PINTURA</v>
      </c>
      <c r="D98" s="1" t="str">
        <f ca="1" t="shared" si="9"/>
        <v>en carpintería  metálica</v>
      </c>
      <c r="E98" s="5" t="str">
        <f ca="1" t="shared" si="10"/>
        <v>m2</v>
      </c>
      <c r="F98" s="219">
        <f ca="1" t="shared" si="11"/>
        <v>53.151857</v>
      </c>
      <c r="G98" s="20"/>
    </row>
    <row r="99" spans="1:7" ht="12.75">
      <c r="A99" s="33">
        <v>95</v>
      </c>
      <c r="B99" s="5" t="s">
        <v>188</v>
      </c>
      <c r="C99" s="1" t="str">
        <f ca="1" t="shared" si="8"/>
        <v>PINTURA</v>
      </c>
      <c r="D99" s="1" t="str">
        <f ca="1" t="shared" si="9"/>
        <v>pintura p/ladrillo visto</v>
      </c>
      <c r="E99" s="5" t="str">
        <f ca="1" t="shared" si="10"/>
        <v>m2</v>
      </c>
      <c r="F99" s="219">
        <f ca="1" t="shared" si="11"/>
        <v>63.1874048</v>
      </c>
      <c r="G99" s="20"/>
    </row>
    <row r="100" spans="1:7" ht="12.75">
      <c r="A100" s="33">
        <v>96</v>
      </c>
      <c r="B100" s="5" t="s">
        <v>1730</v>
      </c>
      <c r="C100" s="1" t="str">
        <f ca="1" t="shared" si="8"/>
        <v>VIDRIOS</v>
      </c>
      <c r="D100" s="1" t="str">
        <f ca="1" t="shared" si="9"/>
        <v>vidrios dobles transparentes</v>
      </c>
      <c r="E100" s="5" t="str">
        <f ca="1" t="shared" si="10"/>
        <v>m2</v>
      </c>
      <c r="F100" s="219">
        <f ca="1" t="shared" si="11"/>
        <v>176.33903500000002</v>
      </c>
      <c r="G100" s="20"/>
    </row>
    <row r="101" spans="1:7" ht="12.75">
      <c r="A101" s="33">
        <v>97</v>
      </c>
      <c r="B101" s="5" t="s">
        <v>21</v>
      </c>
      <c r="C101" s="1" t="str">
        <f ca="1" t="shared" si="8"/>
        <v>VARIOS</v>
      </c>
      <c r="D101" s="1" t="str">
        <f ca="1" t="shared" si="9"/>
        <v>cercos alambrado 4 hilos galvan.</v>
      </c>
      <c r="E101" s="5" t="str">
        <f ca="1" t="shared" si="10"/>
        <v>m</v>
      </c>
      <c r="F101" s="219">
        <f ca="1" t="shared" si="11"/>
        <v>29.634881</v>
      </c>
      <c r="G101" s="20"/>
    </row>
    <row r="102" spans="1:7" ht="12.75">
      <c r="A102" s="33">
        <v>98</v>
      </c>
      <c r="B102" s="5" t="s">
        <v>1894</v>
      </c>
      <c r="C102" s="1" t="str">
        <f ca="1" t="shared" si="8"/>
        <v>VARIOS</v>
      </c>
      <c r="D102" s="1" t="str">
        <f ca="1" t="shared" si="9"/>
        <v>cercos mojón divisorio</v>
      </c>
      <c r="E102" s="5" t="str">
        <f ca="1" t="shared" si="10"/>
        <v>u</v>
      </c>
      <c r="F102" s="219">
        <f ca="1" t="shared" si="11"/>
        <v>256.843072</v>
      </c>
      <c r="G102" s="20"/>
    </row>
    <row r="103" spans="1:7" ht="12.75">
      <c r="A103" s="33">
        <v>99</v>
      </c>
      <c r="B103" s="5" t="s">
        <v>24</v>
      </c>
      <c r="C103" s="1" t="str">
        <f ca="1" t="shared" si="8"/>
        <v>VARIOS</v>
      </c>
      <c r="D103" s="1" t="str">
        <f ca="1" t="shared" si="9"/>
        <v>cerco olímpico alambre romboidal</v>
      </c>
      <c r="E103" s="5" t="str">
        <f ca="1" t="shared" si="10"/>
        <v>m</v>
      </c>
      <c r="F103" s="219">
        <f ca="1" t="shared" si="11"/>
        <v>363.95176000000004</v>
      </c>
      <c r="G103" s="20"/>
    </row>
    <row r="104" spans="1:7" ht="12.75">
      <c r="A104" s="33">
        <v>100</v>
      </c>
      <c r="B104" s="5" t="s">
        <v>25</v>
      </c>
      <c r="C104" s="1" t="str">
        <f ca="1" t="shared" si="8"/>
        <v>VARIOS</v>
      </c>
      <c r="D104" s="1" t="str">
        <f ca="1" t="shared" si="9"/>
        <v>mesada de gran. reconst. c/bacha y pileta lavar</v>
      </c>
      <c r="E104" s="5" t="str">
        <f ca="1" t="shared" si="10"/>
        <v>gl</v>
      </c>
      <c r="F104" s="219">
        <f ca="1" t="shared" si="11"/>
        <v>1487.0609000000002</v>
      </c>
      <c r="G104" s="20"/>
    </row>
    <row r="105" spans="1:7" ht="12.75">
      <c r="A105" s="33">
        <v>101</v>
      </c>
      <c r="B105" s="5" t="s">
        <v>26</v>
      </c>
      <c r="C105" s="1" t="str">
        <f ca="1" t="shared" si="8"/>
        <v>VARIOS</v>
      </c>
      <c r="D105" s="1" t="str">
        <f ca="1" t="shared" si="9"/>
        <v>forestacion</v>
      </c>
      <c r="E105" s="5" t="str">
        <f ca="1" t="shared" si="10"/>
        <v>gl</v>
      </c>
      <c r="F105" s="219">
        <f ca="1" t="shared" si="11"/>
        <v>94.5829</v>
      </c>
      <c r="G105" s="20"/>
    </row>
    <row r="106" spans="1:7" ht="12.75">
      <c r="A106" s="33">
        <v>102</v>
      </c>
      <c r="B106" s="5" t="s">
        <v>28</v>
      </c>
      <c r="C106" s="1" t="str">
        <f ca="1" t="shared" si="8"/>
        <v>VARIOS</v>
      </c>
      <c r="D106" s="1" t="str">
        <f ca="1" t="shared" si="9"/>
        <v>pergolas</v>
      </c>
      <c r="E106" s="5" t="str">
        <f ca="1" t="shared" si="10"/>
        <v>gl</v>
      </c>
      <c r="F106" s="219">
        <f ca="1" t="shared" si="11"/>
        <v>1678.8600000000001</v>
      </c>
      <c r="G106" s="20"/>
    </row>
    <row r="107" spans="1:7" ht="12.75">
      <c r="A107" s="33">
        <v>103</v>
      </c>
      <c r="B107" s="5" t="s">
        <v>192</v>
      </c>
      <c r="C107" s="1" t="str">
        <f ca="1" t="shared" si="8"/>
        <v>VARIOS</v>
      </c>
      <c r="D107" s="1" t="str">
        <f ca="1" t="shared" si="9"/>
        <v>limpieza final de obra</v>
      </c>
      <c r="E107" s="5" t="str">
        <f ca="1" t="shared" si="10"/>
        <v>m2</v>
      </c>
      <c r="F107" s="219">
        <f ca="1" t="shared" si="11"/>
        <v>8.727540000000001</v>
      </c>
      <c r="G107" s="20"/>
    </row>
    <row r="108" spans="1:7" ht="12.75">
      <c r="A108" s="33">
        <v>104</v>
      </c>
      <c r="B108" s="5" t="s">
        <v>327</v>
      </c>
      <c r="C108" s="1" t="str">
        <f ca="1" t="shared" si="8"/>
        <v>VARIOS</v>
      </c>
      <c r="D108" s="1" t="str">
        <f ca="1" t="shared" si="9"/>
        <v>documentacion técnica</v>
      </c>
      <c r="E108" s="5" t="str">
        <f ca="1" t="shared" si="10"/>
        <v>u</v>
      </c>
      <c r="F108" s="219">
        <f ca="1" t="shared" si="11"/>
        <v>5510.6720000000005</v>
      </c>
      <c r="G108" s="20"/>
    </row>
    <row r="109" spans="1:7" ht="12.75">
      <c r="A109" s="33">
        <v>105</v>
      </c>
      <c r="B109" s="5" t="s">
        <v>331</v>
      </c>
      <c r="C109" s="1" t="str">
        <f ca="1" t="shared" si="8"/>
        <v>VARIOS</v>
      </c>
      <c r="D109" s="1" t="str">
        <f ca="1" t="shared" si="9"/>
        <v>hormigón simple 350 kg</v>
      </c>
      <c r="E109" s="5" t="str">
        <f ca="1" t="shared" si="10"/>
        <v>m3</v>
      </c>
      <c r="F109" s="219">
        <f ca="1" t="shared" si="11"/>
        <v>998.39745</v>
      </c>
      <c r="G109" s="20"/>
    </row>
    <row r="110" spans="1:7" ht="12.75">
      <c r="A110" s="33">
        <v>106</v>
      </c>
      <c r="B110" s="5" t="s">
        <v>362</v>
      </c>
      <c r="C110" s="1" t="str">
        <f ca="1" t="shared" si="8"/>
        <v>VARIOS</v>
      </c>
      <c r="D110" s="1" t="str">
        <f ca="1" t="shared" si="9"/>
        <v>Instalación contra incendios edificios</v>
      </c>
      <c r="E110" s="5" t="str">
        <f ca="1" t="shared" si="10"/>
        <v>gl</v>
      </c>
      <c r="F110" s="219">
        <f ca="1" t="shared" si="11"/>
        <v>3030.6963</v>
      </c>
      <c r="G110" s="20"/>
    </row>
    <row r="111" spans="1:7" ht="12.75">
      <c r="A111" s="33">
        <v>107</v>
      </c>
      <c r="B111" s="5" t="s">
        <v>384</v>
      </c>
      <c r="C111" s="1" t="str">
        <f ca="1" t="shared" si="8"/>
        <v>VARIOS</v>
      </c>
      <c r="D111" s="1" t="str">
        <f ca="1" t="shared" si="9"/>
        <v>mesada de granito natural c/bacha</v>
      </c>
      <c r="E111" s="5" t="str">
        <f ca="1" t="shared" si="10"/>
        <v>gl</v>
      </c>
      <c r="F111" s="219">
        <f ca="1" t="shared" si="11"/>
        <v>2223.5369</v>
      </c>
      <c r="G111" s="20"/>
    </row>
    <row r="112" spans="1:7" ht="12.75">
      <c r="A112" s="33">
        <v>108</v>
      </c>
      <c r="B112" s="5" t="s">
        <v>1792</v>
      </c>
      <c r="C112" s="1" t="str">
        <f ca="1" t="shared" si="8"/>
        <v>REDES DE AGUA</v>
      </c>
      <c r="D112" s="1" t="str">
        <f ca="1" t="shared" si="9"/>
        <v>PEAD  c/conexión hasta kit med</v>
      </c>
      <c r="E112" s="5" t="str">
        <f ca="1" t="shared" si="10"/>
        <v>m</v>
      </c>
      <c r="F112" s="219">
        <f ca="1" t="shared" si="11"/>
        <v>243.6999417</v>
      </c>
      <c r="G112" s="20"/>
    </row>
    <row r="113" spans="1:7" ht="12.75">
      <c r="A113" s="33">
        <v>109</v>
      </c>
      <c r="B113" s="5" t="s">
        <v>1793</v>
      </c>
      <c r="C113" s="1" t="str">
        <f ca="1" t="shared" si="8"/>
        <v>REDES DE AGUA</v>
      </c>
      <c r="D113" s="1" t="str">
        <f ca="1" t="shared" si="9"/>
        <v>PEAD  s/conexión</v>
      </c>
      <c r="E113" s="5" t="str">
        <f ca="1" t="shared" si="10"/>
        <v>m</v>
      </c>
      <c r="F113" s="219">
        <f ca="1" t="shared" si="11"/>
        <v>220.80273770000002</v>
      </c>
      <c r="G113" s="20"/>
    </row>
    <row r="114" spans="1:7" ht="12.75">
      <c r="A114" s="33">
        <v>110</v>
      </c>
      <c r="B114" s="5" t="s">
        <v>324</v>
      </c>
      <c r="C114" s="1" t="str">
        <f ca="1" t="shared" si="8"/>
        <v>REDES DE AGUA</v>
      </c>
      <c r="D114" s="1" t="str">
        <f ca="1">INDIRECT("dfor_"&amp;B114)</f>
        <v>Comando y Equipo Bombeo</v>
      </c>
      <c r="E114" s="5" t="str">
        <f ca="1" t="shared" si="10"/>
        <v>gl</v>
      </c>
      <c r="F114" s="219">
        <f ca="1" t="shared" si="11"/>
        <v>105489.99600000001</v>
      </c>
      <c r="G114" s="20"/>
    </row>
    <row r="115" spans="1:8" ht="12.75">
      <c r="A115" s="33">
        <v>111</v>
      </c>
      <c r="B115" s="5" t="s">
        <v>1802</v>
      </c>
      <c r="C115" s="1" t="str">
        <f ca="1" t="shared" si="8"/>
        <v>REDES DE CLOACA</v>
      </c>
      <c r="D115" s="1" t="str">
        <f ca="1" t="shared" si="9"/>
        <v>de PVC c/conexión</v>
      </c>
      <c r="E115" s="5" t="str">
        <f ca="1" t="shared" si="10"/>
        <v>m</v>
      </c>
      <c r="F115" s="219">
        <f ca="1" t="shared" si="11"/>
        <v>400.84787589999996</v>
      </c>
      <c r="G115" s="20"/>
      <c r="H115" s="20"/>
    </row>
    <row r="116" spans="1:8" ht="12.75">
      <c r="A116" s="33">
        <v>112</v>
      </c>
      <c r="B116" s="5" t="s">
        <v>194</v>
      </c>
      <c r="C116" s="1" t="str">
        <f ca="1" t="shared" si="8"/>
        <v>REDES DE CLOACA</v>
      </c>
      <c r="D116" s="1" t="str">
        <f ca="1" t="shared" si="9"/>
        <v>de PVC s/conexión</v>
      </c>
      <c r="E116" s="5" t="str">
        <f ca="1" t="shared" si="10"/>
        <v>m</v>
      </c>
      <c r="F116" s="219">
        <f ca="1" t="shared" si="11"/>
        <v>321.10965010000007</v>
      </c>
      <c r="G116" s="20"/>
      <c r="H116" s="20"/>
    </row>
    <row r="117" spans="1:7" ht="12.75">
      <c r="A117" s="33">
        <v>113</v>
      </c>
      <c r="B117" s="5" t="s">
        <v>1805</v>
      </c>
      <c r="C117" s="1" t="str">
        <f ca="1" t="shared" si="8"/>
        <v>RED DE GAS</v>
      </c>
      <c r="D117" s="1" t="str">
        <f ca="1" t="shared" si="9"/>
        <v>PEAD  varios Ø MM</v>
      </c>
      <c r="E117" s="5" t="str">
        <f ca="1" t="shared" si="10"/>
        <v>m</v>
      </c>
      <c r="F117" s="219">
        <f ca="1" t="shared" si="11"/>
        <v>175.36755</v>
      </c>
      <c r="G117" s="20"/>
    </row>
    <row r="118" spans="1:7" ht="12.75">
      <c r="A118" s="33">
        <v>114</v>
      </c>
      <c r="B118" s="5" t="s">
        <v>1808</v>
      </c>
      <c r="C118" s="1" t="str">
        <f ca="1" t="shared" si="12" ref="C118:C125">INDIRECT("rfor_"&amp;$B118)</f>
        <v>S.E.T.A.</v>
      </c>
      <c r="D118" s="1" t="str">
        <f ca="1" t="shared" si="13" ref="D118:D125">INDIRECT("dfor_"&amp;B118)</f>
        <v>construcción de SETA 315 Kva. </v>
      </c>
      <c r="E118" s="5" t="str">
        <f ca="1" t="shared" si="14" ref="E118:E125">INDIRECT("ufor_"&amp;$B118)</f>
        <v>u</v>
      </c>
      <c r="F118" s="219">
        <f ca="1" t="shared" si="15" ref="F118:F125">INDIRECT("vfor_"&amp;$B118)</f>
        <v>191695.14489959998</v>
      </c>
      <c r="G118" s="85">
        <v>14992.864</v>
      </c>
    </row>
    <row r="119" spans="1:7" ht="12.75">
      <c r="A119" s="33">
        <v>115</v>
      </c>
      <c r="B119" s="5" t="s">
        <v>1809</v>
      </c>
      <c r="C119" s="1" t="str">
        <f ca="1" t="shared" si="12"/>
        <v>RED DE MEDIA TENSION</v>
      </c>
      <c r="D119" s="1" t="str">
        <f ca="1" t="shared" si="13"/>
        <v>tendido de Red Media Tensión</v>
      </c>
      <c r="E119" s="5" t="str">
        <f ca="1" t="shared" si="14"/>
        <v>gl</v>
      </c>
      <c r="F119" s="219">
        <f ca="1" t="shared" si="15"/>
        <v>34834.015061000006</v>
      </c>
      <c r="G119" s="20">
        <v>2120.642</v>
      </c>
    </row>
    <row r="120" spans="1:7" ht="12.75">
      <c r="A120" s="33">
        <v>116</v>
      </c>
      <c r="B120" s="5" t="s">
        <v>1811</v>
      </c>
      <c r="C120" s="1" t="str">
        <f ca="1" t="shared" si="12"/>
        <v>RED DE BAJA TENSION</v>
      </c>
      <c r="D120" s="1" t="str">
        <f ca="1" t="shared" si="13"/>
        <v>tendido baja tension</v>
      </c>
      <c r="E120" s="5" t="str">
        <f ca="1" t="shared" si="14"/>
        <v>gl</v>
      </c>
      <c r="F120" s="219">
        <f ca="1" t="shared" si="15"/>
        <v>24034.500878000003</v>
      </c>
      <c r="G120" s="20">
        <v>1398.308</v>
      </c>
    </row>
    <row r="121" spans="1:7" ht="12.75">
      <c r="A121" s="33">
        <v>117</v>
      </c>
      <c r="B121" s="5" t="s">
        <v>295</v>
      </c>
      <c r="C121" s="1" t="str">
        <f ca="1" t="shared" si="12"/>
        <v>ALUMBRADO PUBLICO</v>
      </c>
      <c r="D121" s="1" t="str">
        <f ca="1" t="shared" si="13"/>
        <v>alumbrado público p/barrios</v>
      </c>
      <c r="E121" s="5" t="str">
        <f ca="1" t="shared" si="14"/>
        <v>gl</v>
      </c>
      <c r="F121" s="219">
        <f ca="1" t="shared" si="15"/>
        <v>48403.8003984</v>
      </c>
      <c r="G121" s="20">
        <v>2906.569</v>
      </c>
    </row>
    <row r="122" spans="1:7" ht="12.75">
      <c r="A122" s="33">
        <v>118</v>
      </c>
      <c r="B122" s="5" t="s">
        <v>201</v>
      </c>
      <c r="C122" s="1" t="str">
        <f ca="1" t="shared" si="12"/>
        <v>RED VIAL</v>
      </c>
      <c r="D122" s="1" t="str">
        <f ca="1" t="shared" si="13"/>
        <v>cordón cuneta de HºAº</v>
      </c>
      <c r="E122" s="5" t="str">
        <f ca="1" t="shared" si="14"/>
        <v>m</v>
      </c>
      <c r="F122" s="219">
        <f ca="1" t="shared" si="15"/>
        <v>186.30295500000003</v>
      </c>
      <c r="G122" s="20"/>
    </row>
    <row r="123" spans="1:7" ht="12.75">
      <c r="A123" s="33">
        <v>119</v>
      </c>
      <c r="B123" s="5" t="s">
        <v>203</v>
      </c>
      <c r="C123" s="1" t="str">
        <f ca="1" t="shared" si="12"/>
        <v>RED VIAL</v>
      </c>
      <c r="D123" s="1" t="str">
        <f ca="1" t="shared" si="13"/>
        <v>pavimento articulado c/subbase</v>
      </c>
      <c r="E123" s="5" t="str">
        <f ca="1" t="shared" si="14"/>
        <v>m2</v>
      </c>
      <c r="F123" s="219">
        <f ca="1" t="shared" si="15"/>
        <v>245.96294253499372</v>
      </c>
      <c r="G123" s="20"/>
    </row>
    <row r="124" spans="1:7" ht="12.75">
      <c r="A124" s="33">
        <v>120</v>
      </c>
      <c r="B124" s="5" t="s">
        <v>202</v>
      </c>
      <c r="C124" s="1" t="str">
        <f ca="1" t="shared" si="12"/>
        <v>RED VIAL</v>
      </c>
      <c r="D124" s="1" t="str">
        <f ca="1" t="shared" si="13"/>
        <v>pavimento de hormigón e= 0.15</v>
      </c>
      <c r="E124" s="5" t="str">
        <f ca="1" t="shared" si="14"/>
        <v>m2</v>
      </c>
      <c r="F124" s="219">
        <f ca="1" t="shared" si="15"/>
        <v>219.236426</v>
      </c>
      <c r="G124" s="20"/>
    </row>
    <row r="125" spans="1:7" ht="12.75">
      <c r="A125" s="33">
        <v>121</v>
      </c>
      <c r="B125" s="5" t="s">
        <v>204</v>
      </c>
      <c r="C125" s="1" t="str">
        <f ca="1" t="shared" si="12"/>
        <v>RED VIAL</v>
      </c>
      <c r="D125" s="1" t="str">
        <f ca="1" t="shared" si="13"/>
        <v>enripiado e=10 cm</v>
      </c>
      <c r="E125" s="5" t="str">
        <f ca="1" t="shared" si="14"/>
        <v>m2</v>
      </c>
      <c r="F125" s="219">
        <f ca="1" t="shared" si="15"/>
        <v>63.46429500000001</v>
      </c>
      <c r="G125" s="20"/>
    </row>
    <row r="126" spans="1:6" ht="15">
      <c r="A126"/>
      <c r="B126"/>
      <c r="C126"/>
      <c r="D126"/>
      <c r="E126"/>
      <c r="F126" s="204"/>
    </row>
  </sheetData>
  <sheetProtection/>
  <mergeCells count="2">
    <mergeCell ref="A2:F2"/>
    <mergeCell ref="A1:F1"/>
  </mergeCells>
  <printOptions/>
  <pageMargins left="0.7480314960629921" right="0" top="0.984251968503937" bottom="1.1811023622047245" header="0" footer="0"/>
  <pageSetup fitToHeight="2" fitToWidth="1" horizontalDpi="600" verticalDpi="600" orientation="portrait" paperSize="9" scale="82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6"/>
  </sheetPr>
  <dimension ref="A1:G104"/>
  <sheetViews>
    <sheetView showGridLines="0" zoomScale="90" zoomScaleNormal="90" zoomScaleSheetLayoutView="75" zoomScalePageLayoutView="0" workbookViewId="0" topLeftCell="A37">
      <selection activeCell="A54" sqref="A5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8" width="15.19921875" style="1" customWidth="1"/>
    <col min="9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346</v>
      </c>
      <c r="B2" s="221" t="s">
        <v>1689</v>
      </c>
      <c r="C2" s="77" t="str">
        <f>Fecha</f>
        <v>abr-2014</v>
      </c>
      <c r="D2" s="48"/>
      <c r="E2" s="48"/>
      <c r="F2" s="222">
        <f>SUM(F4:F11)</f>
        <v>82.61654</v>
      </c>
      <c r="G2" s="41"/>
    </row>
    <row r="3" spans="1:7" ht="13.5" thickBot="1">
      <c r="A3" s="7" t="s">
        <v>345</v>
      </c>
      <c r="B3" s="7" t="s">
        <v>1690</v>
      </c>
      <c r="C3" s="78" t="s">
        <v>344</v>
      </c>
      <c r="D3" s="49" t="s">
        <v>1738</v>
      </c>
      <c r="E3" s="50"/>
      <c r="F3" s="68"/>
      <c r="G3" s="42" t="s">
        <v>1937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1646</v>
      </c>
      <c r="B5" s="4" t="str">
        <f>VLOOKUP(A5,Insumos,2)</f>
        <v>cal hidratada en bolsa</v>
      </c>
      <c r="C5" s="6" t="str">
        <f>VLOOKUP(A5,Insumos,3)</f>
        <v>kg</v>
      </c>
      <c r="D5" s="51">
        <v>7</v>
      </c>
      <c r="E5" s="51">
        <f>VLOOKUP(A5,'IN-04-14'!A6:D880,4)</f>
        <v>1.57</v>
      </c>
      <c r="F5" s="69">
        <f>(D5*E5)</f>
        <v>10.99</v>
      </c>
    </row>
    <row r="6" spans="1:6" ht="12.75">
      <c r="A6" s="3" t="s">
        <v>1639</v>
      </c>
      <c r="B6" s="4" t="str">
        <f>VLOOKUP(A6,Insumos,2)</f>
        <v>cemento Portland</v>
      </c>
      <c r="C6" s="6" t="str">
        <f>VLOOKUP(A6,Insumos,3)</f>
        <v>kg</v>
      </c>
      <c r="D6" s="51">
        <v>4.1</v>
      </c>
      <c r="E6" s="51">
        <f>VLOOKUP(A6,'IN-04-14'!A7:D881,4)</f>
        <v>1.65</v>
      </c>
      <c r="F6" s="69">
        <f>(D6*E6)</f>
        <v>6.764999999999999</v>
      </c>
    </row>
    <row r="7" spans="1:6" ht="12.75">
      <c r="A7" s="3" t="s">
        <v>1651</v>
      </c>
      <c r="B7" s="4" t="str">
        <f>VLOOKUP(A7,Insumos,2)</f>
        <v>ripiosa</v>
      </c>
      <c r="C7" s="6" t="str">
        <f>VLOOKUP(A7,Insumos,3)</f>
        <v>m3</v>
      </c>
      <c r="D7" s="51">
        <v>0.15</v>
      </c>
      <c r="E7" s="51">
        <f>VLOOKUP(A7,'IN-04-14'!A8:D882,4)</f>
        <v>142.07</v>
      </c>
      <c r="F7" s="69">
        <f>(D7*E7)</f>
        <v>21.310499999999998</v>
      </c>
    </row>
    <row r="8" spans="1:6" ht="12.75">
      <c r="A8" s="82" t="s">
        <v>351</v>
      </c>
      <c r="D8" s="51"/>
      <c r="E8" s="51"/>
      <c r="F8" s="69"/>
    </row>
    <row r="9" spans="1:6" ht="12.75">
      <c r="A9" s="3" t="s">
        <v>1636</v>
      </c>
      <c r="B9" s="4" t="str">
        <f>VLOOKUP(A9,Insumos,2)</f>
        <v>cuadrilla tipo UOCRA</v>
      </c>
      <c r="C9" s="6" t="str">
        <f>VLOOKUP(A9,Insumos,3)</f>
        <v>h</v>
      </c>
      <c r="D9" s="51">
        <v>0.7</v>
      </c>
      <c r="E9" s="51">
        <f>VLOOKUP(A9,'IN-04-14'!A10:D884,4)</f>
        <v>58.06</v>
      </c>
      <c r="F9" s="69">
        <f>(D9*E9)</f>
        <v>40.641999999999996</v>
      </c>
    </row>
    <row r="10" spans="1:6" ht="12.75">
      <c r="A10" s="82" t="s">
        <v>352</v>
      </c>
      <c r="D10" s="51"/>
      <c r="E10" s="51"/>
      <c r="F10" s="69"/>
    </row>
    <row r="11" spans="1:6" ht="12.75">
      <c r="A11" s="3" t="s">
        <v>1642</v>
      </c>
      <c r="B11" s="4" t="str">
        <f>VLOOKUP(A11,Insumos,2)</f>
        <v>canasta 2 (mixer 5m3)</v>
      </c>
      <c r="C11" s="6" t="str">
        <f>VLOOKUP(A11,Insumos,3)</f>
        <v>h</v>
      </c>
      <c r="D11" s="51">
        <v>0.004</v>
      </c>
      <c r="E11" s="51">
        <f>VLOOKUP(A11,'IN-04-14'!A12:D886,4)</f>
        <v>727.26</v>
      </c>
      <c r="F11" s="69">
        <f>(D11*E11)</f>
        <v>2.90904</v>
      </c>
    </row>
    <row r="12" spans="4:6" ht="13.5" thickBot="1">
      <c r="D12" s="51"/>
      <c r="E12" s="51"/>
      <c r="F12" s="69"/>
    </row>
    <row r="13" spans="1:7" ht="13.5" thickTop="1">
      <c r="A13" s="75" t="s">
        <v>346</v>
      </c>
      <c r="B13" s="221" t="s">
        <v>1691</v>
      </c>
      <c r="C13" s="77" t="str">
        <f>Fecha</f>
        <v>abr-2014</v>
      </c>
      <c r="D13" s="48"/>
      <c r="E13" s="48"/>
      <c r="F13" s="222">
        <f>SUM(F15:F22)</f>
        <v>39.25573</v>
      </c>
      <c r="G13" s="41"/>
    </row>
    <row r="14" spans="1:7" ht="13.5" thickBot="1">
      <c r="A14" s="7" t="s">
        <v>345</v>
      </c>
      <c r="B14" s="7" t="s">
        <v>1690</v>
      </c>
      <c r="C14" s="78" t="s">
        <v>344</v>
      </c>
      <c r="D14" s="49" t="s">
        <v>328</v>
      </c>
      <c r="E14" s="50"/>
      <c r="F14" s="68"/>
      <c r="G14" s="42" t="s">
        <v>1937</v>
      </c>
    </row>
    <row r="15" spans="1:6" ht="13.5" thickTop="1">
      <c r="A15" s="82" t="s">
        <v>350</v>
      </c>
      <c r="D15" s="51"/>
      <c r="E15" s="51"/>
      <c r="F15" s="69"/>
    </row>
    <row r="16" spans="1:6" ht="12.75">
      <c r="A16" s="3" t="s">
        <v>1646</v>
      </c>
      <c r="B16" s="4" t="str">
        <f>VLOOKUP(A16,Insumos,2)</f>
        <v>cal hidratada en bolsa</v>
      </c>
      <c r="C16" s="6" t="str">
        <f>VLOOKUP(A16,Insumos,3)</f>
        <v>kg</v>
      </c>
      <c r="D16" s="51">
        <v>3.5</v>
      </c>
      <c r="E16" s="51">
        <f>VLOOKUP(A16,'IN-04-14'!A17:D891,4)</f>
        <v>1.57</v>
      </c>
      <c r="F16" s="69">
        <f>(D16*E16)</f>
        <v>5.495</v>
      </c>
    </row>
    <row r="17" spans="1:6" ht="12.75">
      <c r="A17" s="3" t="s">
        <v>1639</v>
      </c>
      <c r="B17" s="4" t="str">
        <f>VLOOKUP(A17,Insumos,2)</f>
        <v>cemento Portland</v>
      </c>
      <c r="C17" s="6" t="str">
        <f>VLOOKUP(A17,Insumos,3)</f>
        <v>kg</v>
      </c>
      <c r="D17" s="51">
        <v>2.05</v>
      </c>
      <c r="E17" s="51">
        <f>VLOOKUP(A17,'IN-04-14'!A18:D892,4)</f>
        <v>1.65</v>
      </c>
      <c r="F17" s="69">
        <f>(D17*E17)</f>
        <v>3.3824999999999994</v>
      </c>
    </row>
    <row r="18" spans="1:6" ht="12.75">
      <c r="A18" s="3" t="s">
        <v>1651</v>
      </c>
      <c r="B18" s="4" t="str">
        <f>VLOOKUP(A18,Insumos,2)</f>
        <v>ripiosa</v>
      </c>
      <c r="C18" s="6" t="str">
        <f>VLOOKUP(A18,Insumos,3)</f>
        <v>m3</v>
      </c>
      <c r="D18" s="51">
        <v>0.035</v>
      </c>
      <c r="E18" s="51">
        <f>VLOOKUP(A18,'IN-04-14'!A19:D893,4)</f>
        <v>142.07</v>
      </c>
      <c r="F18" s="69">
        <f>(D18*E18)</f>
        <v>4.97245</v>
      </c>
    </row>
    <row r="19" spans="1:6" ht="12.75">
      <c r="A19" s="82" t="s">
        <v>351</v>
      </c>
      <c r="D19" s="51"/>
      <c r="E19" s="51"/>
      <c r="F19" s="69"/>
    </row>
    <row r="20" spans="1:6" ht="12.75">
      <c r="A20" s="3" t="s">
        <v>1636</v>
      </c>
      <c r="B20" s="4" t="str">
        <f>VLOOKUP(A20,Insumos,2)</f>
        <v>cuadrilla tipo UOCRA</v>
      </c>
      <c r="C20" s="6" t="str">
        <f>VLOOKUP(A20,Insumos,3)</f>
        <v>h</v>
      </c>
      <c r="D20" s="51">
        <v>0.4</v>
      </c>
      <c r="E20" s="51">
        <f>VLOOKUP(A20,'IN-04-14'!A21:D895,4)</f>
        <v>58.06</v>
      </c>
      <c r="F20" s="69">
        <f>(D20*E20)</f>
        <v>23.224000000000004</v>
      </c>
    </row>
    <row r="21" spans="1:6" ht="12.75">
      <c r="A21" s="82" t="s">
        <v>352</v>
      </c>
      <c r="D21" s="51"/>
      <c r="E21" s="51"/>
      <c r="F21" s="69"/>
    </row>
    <row r="22" spans="1:6" ht="12.75">
      <c r="A22" s="3" t="s">
        <v>1642</v>
      </c>
      <c r="B22" s="4" t="str">
        <f>VLOOKUP(A22,Insumos,2)</f>
        <v>canasta 2 (mixer 5m3)</v>
      </c>
      <c r="C22" s="6" t="str">
        <f>VLOOKUP(A22,Insumos,3)</f>
        <v>h</v>
      </c>
      <c r="D22" s="51">
        <v>0.003</v>
      </c>
      <c r="E22" s="51">
        <f>VLOOKUP(A22,'IN-04-14'!A23:D897,4)</f>
        <v>727.26</v>
      </c>
      <c r="F22" s="69">
        <f>(D22*E22)</f>
        <v>2.18178</v>
      </c>
    </row>
    <row r="23" spans="1:6" ht="13.5" thickBot="1">
      <c r="A23" s="3"/>
      <c r="B23" s="4"/>
      <c r="C23" s="6"/>
      <c r="D23" s="51"/>
      <c r="E23" s="51"/>
      <c r="F23" s="69"/>
    </row>
    <row r="24" spans="1:7" ht="13.5" thickTop="1">
      <c r="A24" s="75" t="s">
        <v>346</v>
      </c>
      <c r="B24" s="221" t="s">
        <v>1692</v>
      </c>
      <c r="C24" s="77" t="str">
        <f>Fecha</f>
        <v>abr-2014</v>
      </c>
      <c r="D24" s="48"/>
      <c r="E24" s="48"/>
      <c r="F24" s="222">
        <f>SUM(F26:F34)</f>
        <v>285.315726</v>
      </c>
      <c r="G24" s="41"/>
    </row>
    <row r="25" spans="1:7" ht="13.5" thickBot="1">
      <c r="A25" s="7" t="s">
        <v>345</v>
      </c>
      <c r="B25" s="7" t="s">
        <v>1690</v>
      </c>
      <c r="C25" s="78" t="s">
        <v>344</v>
      </c>
      <c r="D25" s="49" t="s">
        <v>1882</v>
      </c>
      <c r="E25" s="50"/>
      <c r="F25" s="68"/>
      <c r="G25" s="42" t="s">
        <v>1937</v>
      </c>
    </row>
    <row r="26" spans="1:6" ht="13.5" thickTop="1">
      <c r="A26" s="82" t="s">
        <v>350</v>
      </c>
      <c r="D26" s="51"/>
      <c r="E26" s="51"/>
      <c r="F26" s="69"/>
    </row>
    <row r="27" spans="1:6" ht="12.75">
      <c r="A27" s="3" t="s">
        <v>1646</v>
      </c>
      <c r="B27" s="4" t="str">
        <f>VLOOKUP(A27,Insumos,2)</f>
        <v>cal hidratada en bolsa</v>
      </c>
      <c r="C27" s="6" t="str">
        <f>VLOOKUP(A27,Insumos,3)</f>
        <v>kg</v>
      </c>
      <c r="D27" s="51">
        <v>5</v>
      </c>
      <c r="E27" s="51">
        <f>VLOOKUP(A27,'IN-04-14'!A28:D902,4)</f>
        <v>1.57</v>
      </c>
      <c r="F27" s="69">
        <f>(D27*E27)</f>
        <v>7.8500000000000005</v>
      </c>
    </row>
    <row r="28" spans="1:6" ht="12.75">
      <c r="A28" s="3" t="s">
        <v>1639</v>
      </c>
      <c r="B28" s="4" t="str">
        <f>VLOOKUP(A28,Insumos,2)</f>
        <v>cemento Portland</v>
      </c>
      <c r="C28" s="6" t="str">
        <f>VLOOKUP(A28,Insumos,3)</f>
        <v>kg</v>
      </c>
      <c r="D28" s="51">
        <v>5.84</v>
      </c>
      <c r="E28" s="51">
        <f>VLOOKUP(A28,'IN-04-14'!A29:D903,4)</f>
        <v>1.65</v>
      </c>
      <c r="F28" s="69">
        <f>(D28*E28)</f>
        <v>9.636</v>
      </c>
    </row>
    <row r="29" spans="1:6" ht="12.75">
      <c r="A29" s="3" t="s">
        <v>1641</v>
      </c>
      <c r="B29" s="4" t="str">
        <f>VLOOKUP(A29,Insumos,2)</f>
        <v>arena gruesa</v>
      </c>
      <c r="C29" s="6" t="str">
        <f>VLOOKUP(A29,Insumos,3)</f>
        <v>m3</v>
      </c>
      <c r="D29" s="51">
        <v>0.03</v>
      </c>
      <c r="E29" s="51">
        <f>VLOOKUP(A29,'IN-04-14'!A30:D904,4)</f>
        <v>141.805</v>
      </c>
      <c r="F29" s="69">
        <f>(D29*E29)</f>
        <v>4.25415</v>
      </c>
    </row>
    <row r="30" spans="1:6" ht="12.75">
      <c r="A30" s="3" t="s">
        <v>1883</v>
      </c>
      <c r="B30" s="4" t="str">
        <f>VLOOKUP(A30,'IN-04-14'!$A$5:$D$441,2)</f>
        <v>mosaico granítico 30x30</v>
      </c>
      <c r="C30" s="4" t="str">
        <f>VLOOKUP(A30,'IN-04-14'!$A$5:$D$441,3)</f>
        <v>m2</v>
      </c>
      <c r="D30" s="51">
        <v>1.26</v>
      </c>
      <c r="E30" s="51">
        <f>VLOOKUP(A30,'IN-04-14'!A31:D905,4)</f>
        <v>83.83</v>
      </c>
      <c r="F30" s="69">
        <f>(D30*E30)</f>
        <v>105.6258</v>
      </c>
    </row>
    <row r="31" spans="1:6" ht="12.75">
      <c r="A31" s="82" t="s">
        <v>351</v>
      </c>
      <c r="D31" s="51"/>
      <c r="E31" s="51"/>
      <c r="F31" s="69"/>
    </row>
    <row r="32" spans="1:6" ht="12.75">
      <c r="A32" s="3" t="s">
        <v>1636</v>
      </c>
      <c r="B32" s="4" t="str">
        <f>VLOOKUP(A32,Insumos,2)</f>
        <v>cuadrilla tipo UOCRA</v>
      </c>
      <c r="C32" s="6" t="str">
        <f>VLOOKUP(A32,Insumos,3)</f>
        <v>h</v>
      </c>
      <c r="D32" s="51">
        <v>2.5</v>
      </c>
      <c r="E32" s="51">
        <f>VLOOKUP(A32,'IN-04-14'!A33:D907,4)</f>
        <v>58.06</v>
      </c>
      <c r="F32" s="69">
        <f>(D32*E32)</f>
        <v>145.15</v>
      </c>
    </row>
    <row r="33" spans="1:6" ht="12.75">
      <c r="A33" s="82" t="s">
        <v>352</v>
      </c>
      <c r="D33" s="51"/>
      <c r="E33" s="51"/>
      <c r="F33" s="69"/>
    </row>
    <row r="34" spans="1:6" ht="12.75">
      <c r="A34" s="3" t="s">
        <v>1642</v>
      </c>
      <c r="B34" s="4" t="str">
        <f>VLOOKUP(A34,Insumos,2)</f>
        <v>canasta 2 (mixer 5m3)</v>
      </c>
      <c r="C34" s="6" t="str">
        <f>VLOOKUP(A34,Insumos,3)</f>
        <v>h</v>
      </c>
      <c r="D34" s="51">
        <v>0.0176</v>
      </c>
      <c r="E34" s="51">
        <f>VLOOKUP(A34,'IN-04-14'!A35:D909,4)</f>
        <v>727.26</v>
      </c>
      <c r="F34" s="69">
        <f>(D34*E34)</f>
        <v>12.799776000000001</v>
      </c>
    </row>
    <row r="35" spans="4:6" ht="13.5" thickBot="1">
      <c r="D35" s="51"/>
      <c r="E35" s="51"/>
      <c r="F35" s="69"/>
    </row>
    <row r="36" spans="1:7" ht="13.5" thickTop="1">
      <c r="A36" s="75" t="s">
        <v>346</v>
      </c>
      <c r="B36" s="221" t="s">
        <v>1693</v>
      </c>
      <c r="C36" s="77" t="str">
        <f>Fecha</f>
        <v>abr-2014</v>
      </c>
      <c r="D36" s="48"/>
      <c r="E36" s="48"/>
      <c r="F36" s="222">
        <f>SUM(F38:F46)</f>
        <v>201.44955720000002</v>
      </c>
      <c r="G36" s="41"/>
    </row>
    <row r="37" spans="1:7" ht="13.5" thickBot="1">
      <c r="A37" s="7" t="s">
        <v>345</v>
      </c>
      <c r="B37" s="7" t="s">
        <v>1690</v>
      </c>
      <c r="C37" s="78" t="s">
        <v>344</v>
      </c>
      <c r="D37" s="49" t="s">
        <v>1739</v>
      </c>
      <c r="E37" s="50"/>
      <c r="F37" s="68"/>
      <c r="G37" s="42" t="s">
        <v>1937</v>
      </c>
    </row>
    <row r="38" spans="1:6" ht="13.5" thickTop="1">
      <c r="A38" s="82" t="s">
        <v>350</v>
      </c>
      <c r="D38" s="51"/>
      <c r="E38" s="51"/>
      <c r="F38" s="69"/>
    </row>
    <row r="39" spans="1:6" ht="12.75">
      <c r="A39" s="3" t="s">
        <v>1646</v>
      </c>
      <c r="B39" s="4" t="str">
        <f>VLOOKUP(A39,Insumos,2)</f>
        <v>cal hidratada en bolsa</v>
      </c>
      <c r="C39" s="6" t="str">
        <f>VLOOKUP(A39,Insumos,3)</f>
        <v>kg</v>
      </c>
      <c r="D39" s="51">
        <v>5</v>
      </c>
      <c r="E39" s="51">
        <f>VLOOKUP(A39,'IN-04-14'!A40:D914,4)</f>
        <v>1.57</v>
      </c>
      <c r="F39" s="69">
        <f>(D39*E39)</f>
        <v>7.8500000000000005</v>
      </c>
    </row>
    <row r="40" spans="1:6" ht="12.75">
      <c r="A40" s="3" t="s">
        <v>1639</v>
      </c>
      <c r="B40" s="4" t="str">
        <f>VLOOKUP(A40,Insumos,2)</f>
        <v>cemento Portland</v>
      </c>
      <c r="C40" s="6" t="str">
        <f>VLOOKUP(A40,Insumos,3)</f>
        <v>kg</v>
      </c>
      <c r="D40" s="51">
        <v>5</v>
      </c>
      <c r="E40" s="51">
        <f>VLOOKUP(A40,'IN-04-14'!A41:D915,4)</f>
        <v>1.65</v>
      </c>
      <c r="F40" s="69">
        <f>(D40*E40)</f>
        <v>8.25</v>
      </c>
    </row>
    <row r="41" spans="1:6" ht="12.75">
      <c r="A41" s="3" t="s">
        <v>1641</v>
      </c>
      <c r="B41" s="4" t="str">
        <f>VLOOKUP(A41,Insumos,2)</f>
        <v>arena gruesa</v>
      </c>
      <c r="C41" s="6" t="str">
        <f>VLOOKUP(A41,Insumos,3)</f>
        <v>m3</v>
      </c>
      <c r="D41" s="51">
        <v>0.03</v>
      </c>
      <c r="E41" s="51">
        <f>VLOOKUP(A41,'IN-04-14'!A42:D916,4)</f>
        <v>141.805</v>
      </c>
      <c r="F41" s="69">
        <f>(D41*E41)</f>
        <v>4.25415</v>
      </c>
    </row>
    <row r="42" spans="1:6" ht="12.75">
      <c r="A42" s="3" t="s">
        <v>1652</v>
      </c>
      <c r="B42" s="4" t="str">
        <f>VLOOKUP(A42,'IN-04-14'!$A$5:$D$441,2)</f>
        <v>mosaico calcareo amarillo, rojo o gris</v>
      </c>
      <c r="C42" s="4" t="str">
        <f>VLOOKUP(A42,'IN-04-14'!$A$5:$D$441,3)</f>
        <v>m2</v>
      </c>
      <c r="D42" s="51">
        <v>1.27</v>
      </c>
      <c r="E42" s="51">
        <f>VLOOKUP(A42,'IN-04-14'!A43:D917,4)</f>
        <v>57.02</v>
      </c>
      <c r="F42" s="69">
        <f>(D42*E42)</f>
        <v>72.4154</v>
      </c>
    </row>
    <row r="43" spans="1:6" ht="12.75">
      <c r="A43" s="82" t="s">
        <v>351</v>
      </c>
      <c r="D43" s="51"/>
      <c r="E43" s="51"/>
      <c r="F43" s="69"/>
    </row>
    <row r="44" spans="1:6" ht="12.75">
      <c r="A44" s="3" t="s">
        <v>1636</v>
      </c>
      <c r="B44" s="4" t="str">
        <f>VLOOKUP(A44,Insumos,2)</f>
        <v>cuadrilla tipo UOCRA</v>
      </c>
      <c r="C44" s="6" t="str">
        <f>VLOOKUP(A44,Insumos,3)</f>
        <v>h</v>
      </c>
      <c r="D44" s="51">
        <v>1.7</v>
      </c>
      <c r="E44" s="51">
        <f>VLOOKUP(A44,'IN-04-14'!A45:D919,4)</f>
        <v>58.06</v>
      </c>
      <c r="F44" s="69">
        <f>(D44*E44)</f>
        <v>98.702</v>
      </c>
    </row>
    <row r="45" spans="1:6" ht="12.75">
      <c r="A45" s="82" t="s">
        <v>352</v>
      </c>
      <c r="D45" s="51"/>
      <c r="E45" s="51"/>
      <c r="F45" s="69"/>
    </row>
    <row r="46" spans="1:6" ht="12.75">
      <c r="A46" s="3" t="s">
        <v>1642</v>
      </c>
      <c r="B46" s="4" t="str">
        <f>VLOOKUP(A46,Insumos,2)</f>
        <v>canasta 2 (mixer 5m3)</v>
      </c>
      <c r="C46" s="6" t="str">
        <f>VLOOKUP(A46,Insumos,3)</f>
        <v>h</v>
      </c>
      <c r="D46" s="51">
        <v>0.01372</v>
      </c>
      <c r="E46" s="51">
        <f>VLOOKUP(A46,'IN-04-14'!A47:D921,4)</f>
        <v>727.26</v>
      </c>
      <c r="F46" s="69">
        <f>(D46*E46)</f>
        <v>9.9780072</v>
      </c>
    </row>
    <row r="47" spans="4:6" ht="13.5" thickBot="1">
      <c r="D47" s="51"/>
      <c r="E47" s="51"/>
      <c r="F47" s="69"/>
    </row>
    <row r="48" spans="1:7" ht="13.5" thickTop="1">
      <c r="A48" s="75" t="s">
        <v>346</v>
      </c>
      <c r="B48" s="221" t="s">
        <v>1694</v>
      </c>
      <c r="C48" s="77" t="str">
        <f>Fecha</f>
        <v>abr-2014</v>
      </c>
      <c r="D48" s="48"/>
      <c r="E48" s="48"/>
      <c r="F48" s="222">
        <f>SUM(F50:F57)</f>
        <v>137.0691936</v>
      </c>
      <c r="G48" s="41"/>
    </row>
    <row r="49" spans="1:7" ht="13.5" thickBot="1">
      <c r="A49" s="7" t="s">
        <v>345</v>
      </c>
      <c r="B49" s="7" t="s">
        <v>1690</v>
      </c>
      <c r="C49" s="78" t="s">
        <v>344</v>
      </c>
      <c r="D49" s="49" t="s">
        <v>17</v>
      </c>
      <c r="E49" s="50"/>
      <c r="F49" s="68"/>
      <c r="G49" s="42" t="s">
        <v>1937</v>
      </c>
    </row>
    <row r="50" spans="1:6" ht="13.5" thickTop="1">
      <c r="A50" s="82" t="s">
        <v>350</v>
      </c>
      <c r="D50" s="51"/>
      <c r="E50" s="51"/>
      <c r="F50" s="69"/>
    </row>
    <row r="51" spans="1:6" ht="12.75">
      <c r="A51" s="3" t="s">
        <v>1653</v>
      </c>
      <c r="B51" s="4" t="str">
        <f>VLOOKUP(A51,Insumos,2)</f>
        <v>adhesivo p/piso cerámico</v>
      </c>
      <c r="C51" s="6" t="str">
        <f>VLOOKUP(A51,Insumos,3)</f>
        <v>kg</v>
      </c>
      <c r="D51" s="51">
        <v>3.5</v>
      </c>
      <c r="E51" s="51">
        <f>VLOOKUP(A51,'IN-04-14'!A52:D926,4)</f>
        <v>2.1</v>
      </c>
      <c r="F51" s="69">
        <f>(D51*E51)</f>
        <v>7.3500000000000005</v>
      </c>
    </row>
    <row r="52" spans="1:6" ht="12.75">
      <c r="A52" s="3" t="s">
        <v>1768</v>
      </c>
      <c r="B52" s="4" t="str">
        <f>VLOOKUP(A52,Insumos,2)</f>
        <v>cemento blanco</v>
      </c>
      <c r="C52" s="6" t="str">
        <f>VLOOKUP(A52,Insumos,3)</f>
        <v>bolsa</v>
      </c>
      <c r="D52" s="51">
        <v>0.01</v>
      </c>
      <c r="E52" s="51">
        <f>VLOOKUP(A52,'IN-04-14'!A53:D927,4)</f>
        <v>74.25</v>
      </c>
      <c r="F52" s="69">
        <f>(D52*E52)</f>
        <v>0.7425</v>
      </c>
    </row>
    <row r="53" spans="1:6" ht="12.75">
      <c r="A53" s="232" t="s">
        <v>1030</v>
      </c>
      <c r="B53" s="4" t="str">
        <f>VLOOKUP(A53,'IN-04-14'!$A$5:$D$441,2)</f>
        <v>cerámico esmaltado 20x20</v>
      </c>
      <c r="C53" s="4" t="str">
        <f>VLOOKUP(A53,'IN-04-14'!$A$5:$D$441,3)</f>
        <v>m2</v>
      </c>
      <c r="D53" s="51">
        <v>1.12</v>
      </c>
      <c r="E53" s="51">
        <f>VLOOKUP(A53,'IN-04-14'!A54:D928,4)</f>
        <v>57.89</v>
      </c>
      <c r="F53" s="69">
        <f>(D53*E53)</f>
        <v>64.83680000000001</v>
      </c>
    </row>
    <row r="54" spans="1:6" ht="12.75">
      <c r="A54" s="82" t="s">
        <v>351</v>
      </c>
      <c r="D54" s="51"/>
      <c r="E54" s="51"/>
      <c r="F54" s="69"/>
    </row>
    <row r="55" spans="1:6" ht="12.75">
      <c r="A55" s="3" t="s">
        <v>1636</v>
      </c>
      <c r="B55" s="4" t="str">
        <f>VLOOKUP(A55,Insumos,2)</f>
        <v>cuadrilla tipo UOCRA</v>
      </c>
      <c r="C55" s="6" t="str">
        <f>VLOOKUP(A55,Insumos,3)</f>
        <v>h</v>
      </c>
      <c r="D55" s="51">
        <v>1</v>
      </c>
      <c r="E55" s="51">
        <f>VLOOKUP(A55,'IN-04-14'!A56:D930,4)</f>
        <v>58.06</v>
      </c>
      <c r="F55" s="69">
        <f>(D55*E55)</f>
        <v>58.06</v>
      </c>
    </row>
    <row r="56" spans="1:6" ht="12.75">
      <c r="A56" s="82" t="s">
        <v>352</v>
      </c>
      <c r="D56" s="51"/>
      <c r="E56" s="51"/>
      <c r="F56" s="69"/>
    </row>
    <row r="57" spans="1:6" ht="12.75">
      <c r="A57" s="3" t="s">
        <v>1642</v>
      </c>
      <c r="B57" s="4" t="str">
        <f>VLOOKUP(A57,Insumos,2)</f>
        <v>canasta 2 (mixer 5m3)</v>
      </c>
      <c r="C57" s="6" t="str">
        <f>VLOOKUP(A57,Insumos,3)</f>
        <v>h</v>
      </c>
      <c r="D57" s="51">
        <v>0.00836</v>
      </c>
      <c r="E57" s="51">
        <f>VLOOKUP(A57,'IN-04-14'!A58:D932,4)</f>
        <v>727.26</v>
      </c>
      <c r="F57" s="69">
        <f>(D57*E57)</f>
        <v>6.079893599999999</v>
      </c>
    </row>
    <row r="58" spans="4:6" ht="13.5" thickBot="1">
      <c r="D58" s="51"/>
      <c r="E58" s="51"/>
      <c r="F58" s="69"/>
    </row>
    <row r="59" spans="1:7" ht="13.5" thickTop="1">
      <c r="A59" s="75" t="s">
        <v>346</v>
      </c>
      <c r="B59" s="221" t="s">
        <v>18</v>
      </c>
      <c r="C59" s="77" t="str">
        <f>Fecha</f>
        <v>abr-2014</v>
      </c>
      <c r="D59" s="48"/>
      <c r="E59" s="48"/>
      <c r="F59" s="222">
        <f>SUM(F61:F70)</f>
        <v>182.52649000000002</v>
      </c>
      <c r="G59" s="41"/>
    </row>
    <row r="60" spans="1:7" ht="13.5" thickBot="1">
      <c r="A60" s="7" t="s">
        <v>345</v>
      </c>
      <c r="B60" s="7" t="s">
        <v>1690</v>
      </c>
      <c r="C60" s="78" t="s">
        <v>344</v>
      </c>
      <c r="D60" s="49" t="s">
        <v>1740</v>
      </c>
      <c r="E60" s="50"/>
      <c r="F60" s="68"/>
      <c r="G60" s="42" t="s">
        <v>1937</v>
      </c>
    </row>
    <row r="61" spans="1:6" ht="13.5" thickTop="1">
      <c r="A61" s="82" t="s">
        <v>350</v>
      </c>
      <c r="D61" s="51"/>
      <c r="E61" s="51"/>
      <c r="F61" s="69"/>
    </row>
    <row r="62" spans="1:6" ht="12.75">
      <c r="A62" s="3" t="s">
        <v>1653</v>
      </c>
      <c r="B62" s="4" t="str">
        <f>VLOOKUP(A62,Insumos,2)</f>
        <v>adhesivo p/piso cerámico</v>
      </c>
      <c r="C62" s="6" t="str">
        <f>VLOOKUP(A62,Insumos,3)</f>
        <v>kg</v>
      </c>
      <c r="D62" s="51">
        <v>3.5</v>
      </c>
      <c r="E62" s="51">
        <f>VLOOKUP(A62,'IN-04-14'!A63:D937,4)</f>
        <v>2.1</v>
      </c>
      <c r="F62" s="69">
        <f>(D62*E62)</f>
        <v>7.3500000000000005</v>
      </c>
    </row>
    <row r="63" spans="1:6" ht="12.75">
      <c r="A63" s="3" t="s">
        <v>1639</v>
      </c>
      <c r="B63" s="4" t="str">
        <f>VLOOKUP(A63,Insumos,2)</f>
        <v>cemento Portland</v>
      </c>
      <c r="C63" s="6" t="str">
        <f>VLOOKUP(A63,Insumos,3)</f>
        <v>kg</v>
      </c>
      <c r="D63" s="51">
        <v>15</v>
      </c>
      <c r="E63" s="51">
        <f>VLOOKUP(A63,'IN-04-14'!A64:D938,4)</f>
        <v>1.65</v>
      </c>
      <c r="F63" s="69">
        <f>(D63*E63)</f>
        <v>24.75</v>
      </c>
    </row>
    <row r="64" spans="1:6" ht="12.75">
      <c r="A64" s="3" t="s">
        <v>1768</v>
      </c>
      <c r="B64" s="4" t="str">
        <f>VLOOKUP(A64,Insumos,2)</f>
        <v>cemento blanco</v>
      </c>
      <c r="C64" s="6" t="str">
        <f>VLOOKUP(A64,Insumos,3)</f>
        <v>bolsa</v>
      </c>
      <c r="D64" s="51">
        <v>0.01</v>
      </c>
      <c r="E64" s="51">
        <f>VLOOKUP(A64,'IN-04-14'!A65:D939,4)</f>
        <v>74.25</v>
      </c>
      <c r="F64" s="69">
        <f>(D64*E64)</f>
        <v>0.7425</v>
      </c>
    </row>
    <row r="65" spans="1:6" ht="12.75">
      <c r="A65" s="3" t="s">
        <v>1641</v>
      </c>
      <c r="B65" s="4" t="str">
        <f>VLOOKUP(A65,Insumos,2)</f>
        <v>arena gruesa</v>
      </c>
      <c r="C65" s="6" t="str">
        <f>VLOOKUP(A65,Insumos,3)</f>
        <v>m3</v>
      </c>
      <c r="D65" s="51">
        <v>0.03</v>
      </c>
      <c r="E65" s="51">
        <f>VLOOKUP(A65,'IN-04-14'!A42:D940,4)</f>
        <v>141.805</v>
      </c>
      <c r="F65" s="69">
        <f>(D65*E65)</f>
        <v>4.25415</v>
      </c>
    </row>
    <row r="66" spans="1:6" ht="12.75">
      <c r="A66" s="3" t="s">
        <v>1369</v>
      </c>
      <c r="B66" s="4" t="str">
        <f>VLOOKUP(A66,'IN-04-14'!$A$5:$D$441,2)</f>
        <v>baldosa cerámica roja 6 x 24</v>
      </c>
      <c r="C66" s="4" t="str">
        <f>VLOOKUP(A66,'IN-04-14'!$A$5:$D$441,3)</f>
        <v>m2</v>
      </c>
      <c r="D66" s="51">
        <v>1.12</v>
      </c>
      <c r="E66" s="51">
        <f>VLOOKUP(A66,'IN-04-14'!A67:D941,4)</f>
        <v>33.94</v>
      </c>
      <c r="F66" s="69">
        <f>(D66*E66)</f>
        <v>38.0128</v>
      </c>
    </row>
    <row r="67" spans="1:6" ht="12.75">
      <c r="A67" s="82" t="s">
        <v>351</v>
      </c>
      <c r="D67" s="51"/>
      <c r="E67" s="51"/>
      <c r="F67" s="69"/>
    </row>
    <row r="68" spans="1:6" ht="12.75">
      <c r="A68" s="3" t="s">
        <v>1636</v>
      </c>
      <c r="B68" s="4" t="str">
        <f>VLOOKUP(A68,Insumos,2)</f>
        <v>cuadrilla tipo UOCRA</v>
      </c>
      <c r="C68" s="6" t="str">
        <f>VLOOKUP(A68,Insumos,3)</f>
        <v>h</v>
      </c>
      <c r="D68" s="51">
        <v>1.8</v>
      </c>
      <c r="E68" s="51">
        <f>VLOOKUP(A68,'IN-04-14'!A69:D943,4)</f>
        <v>58.06</v>
      </c>
      <c r="F68" s="69">
        <f>(D68*E68)</f>
        <v>104.50800000000001</v>
      </c>
    </row>
    <row r="69" spans="1:6" ht="12.75">
      <c r="A69" s="82" t="s">
        <v>352</v>
      </c>
      <c r="D69" s="51"/>
      <c r="E69" s="51"/>
      <c r="F69" s="69"/>
    </row>
    <row r="70" spans="1:6" ht="12.75">
      <c r="A70" s="3" t="s">
        <v>1642</v>
      </c>
      <c r="B70" s="4" t="str">
        <f>VLOOKUP(A70,Insumos,2)</f>
        <v>canasta 2 (mixer 5m3)</v>
      </c>
      <c r="C70" s="6" t="str">
        <f>VLOOKUP(A70,Insumos,3)</f>
        <v>h</v>
      </c>
      <c r="D70" s="51">
        <v>0.004</v>
      </c>
      <c r="E70" s="51">
        <f>VLOOKUP(A70,'IN-04-14'!A71:D945,4)</f>
        <v>727.26</v>
      </c>
      <c r="F70" s="69">
        <f>(D70*E70)</f>
        <v>2.90904</v>
      </c>
    </row>
    <row r="71" spans="4:6" ht="13.5" thickBot="1">
      <c r="D71" s="51"/>
      <c r="E71" s="51"/>
      <c r="F71" s="69"/>
    </row>
    <row r="72" spans="1:7" ht="13.5" thickTop="1">
      <c r="A72" s="75" t="s">
        <v>346</v>
      </c>
      <c r="B72" s="221" t="s">
        <v>1695</v>
      </c>
      <c r="C72" s="77" t="str">
        <f>Fecha</f>
        <v>abr-2014</v>
      </c>
      <c r="D72" s="48"/>
      <c r="E72" s="48"/>
      <c r="F72" s="222">
        <f>SUM(F74:F80)</f>
        <v>102.20336099999999</v>
      </c>
      <c r="G72" s="41"/>
    </row>
    <row r="73" spans="1:7" ht="13.5" thickBot="1">
      <c r="A73" s="7" t="s">
        <v>345</v>
      </c>
      <c r="B73" s="7" t="s">
        <v>1690</v>
      </c>
      <c r="C73" s="78" t="s">
        <v>344</v>
      </c>
      <c r="D73" s="49" t="s">
        <v>1741</v>
      </c>
      <c r="E73" s="50"/>
      <c r="F73" s="68"/>
      <c r="G73" s="42" t="s">
        <v>1937</v>
      </c>
    </row>
    <row r="74" spans="1:6" ht="13.5" thickTop="1">
      <c r="A74" s="82" t="s">
        <v>350</v>
      </c>
      <c r="D74" s="51"/>
      <c r="E74" s="51"/>
      <c r="F74" s="69"/>
    </row>
    <row r="75" spans="1:6" ht="12.75">
      <c r="A75" s="3" t="s">
        <v>1639</v>
      </c>
      <c r="B75" s="4" t="str">
        <f>VLOOKUP(A75,Insumos,2)</f>
        <v>cemento Portland</v>
      </c>
      <c r="C75" s="6" t="str">
        <f>VLOOKUP(A75,Insumos,3)</f>
        <v>kg</v>
      </c>
      <c r="D75" s="51">
        <v>15</v>
      </c>
      <c r="E75" s="51">
        <f>VLOOKUP(A75,'IN-04-14'!A76:D950,4)</f>
        <v>1.65</v>
      </c>
      <c r="F75" s="69">
        <f>(D75*E75)</f>
        <v>24.75</v>
      </c>
    </row>
    <row r="76" spans="1:6" ht="12.75">
      <c r="A76" s="3" t="s">
        <v>1641</v>
      </c>
      <c r="B76" s="4" t="str">
        <f>VLOOKUP(A76,Insumos,2)</f>
        <v>arena gruesa</v>
      </c>
      <c r="C76" s="6" t="str">
        <f>VLOOKUP(A76,Insumos,3)</f>
        <v>m3</v>
      </c>
      <c r="D76" s="51">
        <v>0.03</v>
      </c>
      <c r="E76" s="51">
        <f>VLOOKUP(A76,'IN-04-14'!A42:D951,4)</f>
        <v>141.805</v>
      </c>
      <c r="F76" s="69">
        <f>(D76*E76)</f>
        <v>4.25415</v>
      </c>
    </row>
    <row r="77" spans="1:6" ht="12.75">
      <c r="A77" s="82" t="s">
        <v>351</v>
      </c>
      <c r="D77" s="51"/>
      <c r="E77" s="51"/>
      <c r="F77" s="69"/>
    </row>
    <row r="78" spans="1:6" ht="12.75">
      <c r="A78" s="3" t="s">
        <v>1636</v>
      </c>
      <c r="B78" s="4" t="str">
        <f>VLOOKUP(A78,Insumos,2)</f>
        <v>cuadrilla tipo UOCRA</v>
      </c>
      <c r="C78" s="6" t="str">
        <f>VLOOKUP(A78,Insumos,3)</f>
        <v>h</v>
      </c>
      <c r="D78" s="51">
        <v>1.2</v>
      </c>
      <c r="E78" s="51">
        <f>VLOOKUP(A78,'IN-04-14'!A79:D953,4)</f>
        <v>58.06</v>
      </c>
      <c r="F78" s="69">
        <f>(D78*E78)</f>
        <v>69.672</v>
      </c>
    </row>
    <row r="79" spans="1:6" ht="12.75">
      <c r="A79" s="82" t="s">
        <v>352</v>
      </c>
      <c r="D79" s="51"/>
      <c r="E79" s="51"/>
      <c r="F79" s="69"/>
    </row>
    <row r="80" spans="1:6" ht="12.75">
      <c r="A80" s="3" t="s">
        <v>1642</v>
      </c>
      <c r="B80" s="4" t="str">
        <f>VLOOKUP(A80,Insumos,2)</f>
        <v>canasta 2 (mixer 5m3)</v>
      </c>
      <c r="C80" s="6" t="str">
        <f>VLOOKUP(A80,Insumos,3)</f>
        <v>h</v>
      </c>
      <c r="D80" s="51">
        <v>0.00485</v>
      </c>
      <c r="E80" s="51">
        <f>VLOOKUP(A80,'IN-04-14'!A81:D955,4)</f>
        <v>727.26</v>
      </c>
      <c r="F80" s="69">
        <f>(D80*E80)</f>
        <v>3.527211</v>
      </c>
    </row>
    <row r="81" spans="1:6" ht="13.5" thickBot="1">
      <c r="A81" s="3"/>
      <c r="B81" s="4"/>
      <c r="C81" s="6"/>
      <c r="D81" s="51"/>
      <c r="E81" s="51"/>
      <c r="F81" s="69"/>
    </row>
    <row r="82" spans="1:7" ht="13.5" thickTop="1">
      <c r="A82" s="75" t="s">
        <v>346</v>
      </c>
      <c r="B82" s="221" t="s">
        <v>1884</v>
      </c>
      <c r="C82" s="77" t="str">
        <f>Fecha</f>
        <v>abr-2014</v>
      </c>
      <c r="D82" s="48"/>
      <c r="E82" s="48"/>
      <c r="F82" s="222">
        <f>SUM(F85:F91)</f>
        <v>130.38739999999999</v>
      </c>
      <c r="G82" s="41"/>
    </row>
    <row r="83" spans="1:7" ht="13.5" thickBot="1">
      <c r="A83" s="7" t="s">
        <v>345</v>
      </c>
      <c r="B83" s="7" t="s">
        <v>1690</v>
      </c>
      <c r="C83" s="78" t="s">
        <v>344</v>
      </c>
      <c r="D83" s="49" t="s">
        <v>1885</v>
      </c>
      <c r="E83" s="50"/>
      <c r="F83" s="68"/>
      <c r="G83" s="42" t="s">
        <v>1937</v>
      </c>
    </row>
    <row r="84" spans="4:6" ht="13.5" thickTop="1">
      <c r="D84" s="51"/>
      <c r="E84" s="51"/>
      <c r="F84" s="69"/>
    </row>
    <row r="85" spans="1:6" ht="12.75">
      <c r="A85" s="82" t="s">
        <v>350</v>
      </c>
      <c r="D85" s="51"/>
      <c r="E85" s="51"/>
      <c r="F85" s="69"/>
    </row>
    <row r="86" spans="1:6" ht="12.75">
      <c r="A86" s="3" t="s">
        <v>1639</v>
      </c>
      <c r="B86" s="4" t="str">
        <f>VLOOKUP(A86,Insumos,2)</f>
        <v>cemento Portland</v>
      </c>
      <c r="C86" s="6" t="str">
        <f>VLOOKUP(A86,Insumos,3)</f>
        <v>kg</v>
      </c>
      <c r="D86" s="51">
        <v>23.4</v>
      </c>
      <c r="E86" s="51">
        <f>VLOOKUP(A86,'IN-04-14'!A87:D961,4)</f>
        <v>1.65</v>
      </c>
      <c r="F86" s="69">
        <f>(D86*E86)</f>
        <v>38.60999999999999</v>
      </c>
    </row>
    <row r="87" spans="1:6" ht="12.75">
      <c r="A87" s="3" t="s">
        <v>1651</v>
      </c>
      <c r="B87" s="4" t="str">
        <f>VLOOKUP(A87,Insumos,2)</f>
        <v>ripiosa</v>
      </c>
      <c r="C87" s="6" t="str">
        <f>VLOOKUP(A87,Insumos,3)</f>
        <v>m3</v>
      </c>
      <c r="D87" s="51">
        <v>0.13</v>
      </c>
      <c r="E87" s="51">
        <f>VLOOKUP(A87,'IN-04-14'!A45:D962,4)</f>
        <v>142.07</v>
      </c>
      <c r="F87" s="69">
        <f>(D87*E87)</f>
        <v>18.4691</v>
      </c>
    </row>
    <row r="88" spans="1:6" ht="12.75">
      <c r="A88" s="82" t="s">
        <v>351</v>
      </c>
      <c r="D88" s="51"/>
      <c r="E88" s="51"/>
      <c r="F88" s="69"/>
    </row>
    <row r="89" spans="1:6" ht="12.75">
      <c r="A89" s="3" t="s">
        <v>1636</v>
      </c>
      <c r="B89" s="4" t="str">
        <f>VLOOKUP(A89,Insumos,2)</f>
        <v>cuadrilla tipo UOCRA</v>
      </c>
      <c r="C89" s="6" t="str">
        <f>VLOOKUP(A89,Insumos,3)</f>
        <v>h</v>
      </c>
      <c r="D89" s="51">
        <v>1.2</v>
      </c>
      <c r="E89" s="51">
        <f>VLOOKUP(A89,'IN-04-14'!A90:D964,4)</f>
        <v>58.06</v>
      </c>
      <c r="F89" s="69">
        <f>(D89*E89)</f>
        <v>69.672</v>
      </c>
    </row>
    <row r="90" spans="1:6" ht="12.75">
      <c r="A90" s="82" t="s">
        <v>352</v>
      </c>
      <c r="D90" s="51"/>
      <c r="E90" s="51"/>
      <c r="F90" s="69"/>
    </row>
    <row r="91" spans="1:6" ht="12.75">
      <c r="A91" s="3" t="s">
        <v>1642</v>
      </c>
      <c r="B91" s="4" t="str">
        <f>VLOOKUP(A91,Insumos,2)</f>
        <v>canasta 2 (mixer 5m3)</v>
      </c>
      <c r="C91" s="6" t="str">
        <f>VLOOKUP(A91,Insumos,3)</f>
        <v>h</v>
      </c>
      <c r="D91" s="51">
        <v>0.005</v>
      </c>
      <c r="E91" s="51">
        <f>VLOOKUP(A91,'IN-04-14'!A92:D966,4)</f>
        <v>727.26</v>
      </c>
      <c r="F91" s="69">
        <f>(D91*E91)</f>
        <v>3.6363</v>
      </c>
    </row>
    <row r="92" spans="1:6" ht="13.5" thickBot="1">
      <c r="A92" s="3"/>
      <c r="B92" s="4"/>
      <c r="C92" s="6"/>
      <c r="D92" s="51"/>
      <c r="E92" s="51"/>
      <c r="F92" s="69"/>
    </row>
    <row r="93" spans="1:7" ht="13.5" thickTop="1">
      <c r="A93" s="75" t="s">
        <v>346</v>
      </c>
      <c r="B93" s="221" t="s">
        <v>1886</v>
      </c>
      <c r="C93" s="77" t="str">
        <f>Fecha</f>
        <v>abr-2014</v>
      </c>
      <c r="D93" s="48"/>
      <c r="E93" s="48"/>
      <c r="F93" s="222">
        <f>SUM(F96:F103)</f>
        <v>221.39229</v>
      </c>
      <c r="G93" s="41"/>
    </row>
    <row r="94" spans="1:7" ht="13.5" thickBot="1">
      <c r="A94" s="7" t="s">
        <v>345</v>
      </c>
      <c r="B94" s="7" t="s">
        <v>1690</v>
      </c>
      <c r="C94" s="78" t="s">
        <v>344</v>
      </c>
      <c r="D94" s="49" t="s">
        <v>1900</v>
      </c>
      <c r="E94" s="50"/>
      <c r="F94" s="68"/>
      <c r="G94" s="42" t="s">
        <v>1937</v>
      </c>
    </row>
    <row r="95" spans="4:6" ht="13.5" thickTop="1">
      <c r="D95" s="51"/>
      <c r="E95" s="51"/>
      <c r="F95" s="69"/>
    </row>
    <row r="96" spans="1:6" ht="12.75">
      <c r="A96" s="82" t="s">
        <v>350</v>
      </c>
      <c r="D96" s="51"/>
      <c r="E96" s="51"/>
      <c r="F96" s="69"/>
    </row>
    <row r="97" spans="1:6" ht="12.75">
      <c r="A97" s="3" t="s">
        <v>1639</v>
      </c>
      <c r="B97" s="4" t="str">
        <f>VLOOKUP(A97,Insumos,2)</f>
        <v>cemento Portland</v>
      </c>
      <c r="C97" s="6" t="str">
        <f>VLOOKUP(A97,Insumos,3)</f>
        <v>kg</v>
      </c>
      <c r="D97" s="51">
        <f>+D98*260</f>
        <v>50.7</v>
      </c>
      <c r="E97" s="51">
        <f>VLOOKUP(A97,'IN-04-14'!A98:D972,4)</f>
        <v>1.65</v>
      </c>
      <c r="F97" s="69">
        <f>(D97*E97)</f>
        <v>83.655</v>
      </c>
    </row>
    <row r="98" spans="1:6" ht="12.75">
      <c r="A98" s="3" t="s">
        <v>1651</v>
      </c>
      <c r="B98" s="4" t="str">
        <f>VLOOKUP(A98,Insumos,2)</f>
        <v>ripiosa</v>
      </c>
      <c r="C98" s="6" t="str">
        <f>VLOOKUP(A98,Insumos,3)</f>
        <v>m3</v>
      </c>
      <c r="D98" s="51">
        <v>0.195</v>
      </c>
      <c r="E98" s="51">
        <f>VLOOKUP(A98,'IN-04-14'!A45:D973,4)</f>
        <v>142.07</v>
      </c>
      <c r="F98" s="69">
        <f>(D98*E98)</f>
        <v>27.70365</v>
      </c>
    </row>
    <row r="99" spans="1:6" ht="12.75">
      <c r="A99" s="3" t="s">
        <v>1643</v>
      </c>
      <c r="B99" s="4" t="str">
        <f>VLOOKUP(A99,Insumos,2)</f>
        <v>malla Sima R92</v>
      </c>
      <c r="C99" s="6" t="str">
        <f>VLOOKUP(A99,Insumos,3)</f>
        <v>kg</v>
      </c>
      <c r="D99" s="51">
        <v>1.2</v>
      </c>
      <c r="E99" s="51">
        <f>VLOOKUP(A99,'IN-04-14'!A9:D974,4)</f>
        <v>16.6955</v>
      </c>
      <c r="F99" s="69">
        <f>(D99*E99)</f>
        <v>20.034599999999998</v>
      </c>
    </row>
    <row r="100" spans="1:6" ht="12.75">
      <c r="A100" s="82" t="s">
        <v>351</v>
      </c>
      <c r="D100" s="51"/>
      <c r="E100" s="51"/>
      <c r="F100" s="69"/>
    </row>
    <row r="101" spans="1:6" ht="12.75">
      <c r="A101" s="3" t="s">
        <v>1636</v>
      </c>
      <c r="B101" s="4" t="str">
        <f>VLOOKUP(A101,Insumos,2)</f>
        <v>cuadrilla tipo UOCRA</v>
      </c>
      <c r="C101" s="6" t="str">
        <f>VLOOKUP(A101,Insumos,3)</f>
        <v>h</v>
      </c>
      <c r="D101" s="51">
        <v>1.5</v>
      </c>
      <c r="E101" s="51">
        <f>VLOOKUP(A101,'IN-04-14'!A102:D976,4)</f>
        <v>58.06</v>
      </c>
      <c r="F101" s="69">
        <f>(D101*E101)</f>
        <v>87.09</v>
      </c>
    </row>
    <row r="102" spans="1:6" ht="12.75">
      <c r="A102" s="82" t="s">
        <v>352</v>
      </c>
      <c r="D102" s="51"/>
      <c r="E102" s="51"/>
      <c r="F102" s="69"/>
    </row>
    <row r="103" spans="1:6" ht="12.75">
      <c r="A103" s="3" t="s">
        <v>1642</v>
      </c>
      <c r="B103" s="4" t="str">
        <f>VLOOKUP(A103,Insumos,2)</f>
        <v>canasta 2 (mixer 5m3)</v>
      </c>
      <c r="C103" s="6" t="str">
        <f>VLOOKUP(A103,Insumos,3)</f>
        <v>h</v>
      </c>
      <c r="D103" s="51">
        <v>0.004</v>
      </c>
      <c r="E103" s="51">
        <f>VLOOKUP(A103,'IN-04-14'!A104:D978,4)</f>
        <v>727.26</v>
      </c>
      <c r="F103" s="69">
        <f>(D103*E103)</f>
        <v>2.90904</v>
      </c>
    </row>
    <row r="104" ht="12.75">
      <c r="D104" s="51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G103"/>
  <sheetViews>
    <sheetView showGridLines="0" zoomScale="90" zoomScaleNormal="90" zoomScaleSheetLayoutView="75" zoomScalePageLayoutView="0" workbookViewId="0" topLeftCell="A55">
      <selection activeCell="A69" sqref="A6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346</v>
      </c>
      <c r="B2" s="221" t="s">
        <v>1696</v>
      </c>
      <c r="C2" s="77" t="str">
        <f>Fecha</f>
        <v>abr-2014</v>
      </c>
      <c r="D2" s="48"/>
      <c r="E2" s="48"/>
      <c r="F2" s="222">
        <f>SUM(F4:F14)</f>
        <v>593.10688</v>
      </c>
      <c r="G2" s="41"/>
    </row>
    <row r="3" spans="1:7" ht="13.5" thickBot="1">
      <c r="A3" s="7" t="s">
        <v>345</v>
      </c>
      <c r="B3" s="7" t="s">
        <v>1697</v>
      </c>
      <c r="C3" s="78" t="s">
        <v>344</v>
      </c>
      <c r="D3" s="49" t="s">
        <v>1742</v>
      </c>
      <c r="E3" s="50"/>
      <c r="F3" s="68"/>
      <c r="G3" s="42" t="s">
        <v>1937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232" t="s">
        <v>519</v>
      </c>
      <c r="B5" s="4" t="str">
        <f aca="true" t="shared" si="0" ref="B5:B10">VLOOKUP(A5,Insumos,2)</f>
        <v>membrana b/tejas c/aislac. térmica TBA5</v>
      </c>
      <c r="C5" s="6" t="str">
        <f aca="true" t="shared" si="1" ref="C5:C10">VLOOKUP(A5,Insumos,3)</f>
        <v>m2</v>
      </c>
      <c r="D5" s="51">
        <v>1.1</v>
      </c>
      <c r="E5" s="51">
        <f>VLOOKUP(A5,'IN-04-14'!A6:D880,4)</f>
        <v>27.9993</v>
      </c>
      <c r="F5" s="69">
        <f aca="true" t="shared" si="2" ref="F5:F10">(D5*E5)</f>
        <v>30.799230000000005</v>
      </c>
    </row>
    <row r="6" spans="1:6" ht="12.75">
      <c r="A6" s="3" t="s">
        <v>1762</v>
      </c>
      <c r="B6" s="4" t="str">
        <f t="shared" si="0"/>
        <v>clavos P.P. 2"</v>
      </c>
      <c r="C6" s="6" t="str">
        <f t="shared" si="1"/>
        <v>kg</v>
      </c>
      <c r="D6" s="51">
        <v>0.3</v>
      </c>
      <c r="E6" s="51">
        <f>VLOOKUP(A6,'IN-04-14'!A7:D881,4)</f>
        <v>13.52</v>
      </c>
      <c r="F6" s="69">
        <f t="shared" si="2"/>
        <v>4.056</v>
      </c>
    </row>
    <row r="7" spans="1:6" ht="12.75">
      <c r="A7" s="3" t="s">
        <v>148</v>
      </c>
      <c r="B7" s="4" t="str">
        <f t="shared" si="0"/>
        <v>madera 1" pino nacional s/cepillar</v>
      </c>
      <c r="C7" s="6" t="str">
        <f t="shared" si="1"/>
        <v>m2</v>
      </c>
      <c r="D7" s="51">
        <v>1.2</v>
      </c>
      <c r="E7" s="51">
        <f>VLOOKUP(A7,'IN-04-14'!A8:D882,4)</f>
        <v>77.815</v>
      </c>
      <c r="F7" s="69">
        <f t="shared" si="2"/>
        <v>93.378</v>
      </c>
    </row>
    <row r="8" spans="1:6" ht="12.75">
      <c r="A8" s="3" t="s">
        <v>1655</v>
      </c>
      <c r="B8" s="4" t="str">
        <f>VLOOKUP(A8,'IN-04-14'!$A$5:$D$441,2)</f>
        <v>teja francesa</v>
      </c>
      <c r="C8" s="4" t="str">
        <f>VLOOKUP(A8,'IN-04-14'!$A$5:$D$441,3)</f>
        <v>u</v>
      </c>
      <c r="D8" s="51">
        <v>14</v>
      </c>
      <c r="E8" s="51">
        <f>VLOOKUP(A8,'IN-04-14'!A9:D883,4)</f>
        <v>7.0112</v>
      </c>
      <c r="F8" s="69">
        <f t="shared" si="2"/>
        <v>98.15679999999999</v>
      </c>
    </row>
    <row r="9" spans="1:6" ht="12.75">
      <c r="A9" s="3" t="s">
        <v>1760</v>
      </c>
      <c r="B9" s="4" t="str">
        <f t="shared" si="0"/>
        <v>tirante pino 3x6"</v>
      </c>
      <c r="C9" s="6" t="str">
        <f t="shared" si="1"/>
        <v>m</v>
      </c>
      <c r="D9" s="51">
        <v>1.5</v>
      </c>
      <c r="E9" s="51">
        <f>VLOOKUP(A9,'IN-04-14'!A10:D884,4)</f>
        <v>44.24</v>
      </c>
      <c r="F9" s="69">
        <f t="shared" si="2"/>
        <v>66.36</v>
      </c>
    </row>
    <row r="10" spans="1:6" ht="12.75">
      <c r="A10" s="3" t="s">
        <v>1761</v>
      </c>
      <c r="B10" s="4" t="str">
        <f t="shared" si="0"/>
        <v>listones pino 1x2"</v>
      </c>
      <c r="C10" s="6" t="str">
        <f t="shared" si="1"/>
        <v>m</v>
      </c>
      <c r="D10" s="51">
        <v>1.8</v>
      </c>
      <c r="E10" s="51">
        <f>VLOOKUP(A10,'IN-04-14'!A11:D885,4)</f>
        <v>4.195</v>
      </c>
      <c r="F10" s="69">
        <f t="shared" si="2"/>
        <v>7.551000000000001</v>
      </c>
    </row>
    <row r="11" spans="1:6" ht="12.75">
      <c r="A11" s="82" t="s">
        <v>351</v>
      </c>
      <c r="D11" s="51"/>
      <c r="E11" s="51"/>
      <c r="F11" s="69"/>
    </row>
    <row r="12" spans="1:6" ht="12.75">
      <c r="A12" s="3" t="s">
        <v>1636</v>
      </c>
      <c r="B12" s="4" t="str">
        <f>VLOOKUP(A12,Insumos,2)</f>
        <v>cuadrilla tipo UOCRA</v>
      </c>
      <c r="C12" s="6" t="str">
        <f>VLOOKUP(A12,Insumos,3)</f>
        <v>h</v>
      </c>
      <c r="D12" s="51">
        <v>5</v>
      </c>
      <c r="E12" s="51">
        <f>VLOOKUP(A12,'IN-04-14'!A13:D887,4)</f>
        <v>58.06</v>
      </c>
      <c r="F12" s="69">
        <f>(D12*E12)</f>
        <v>290.3</v>
      </c>
    </row>
    <row r="13" spans="1:6" ht="12.75">
      <c r="A13" s="82" t="s">
        <v>352</v>
      </c>
      <c r="D13" s="51"/>
      <c r="E13" s="51"/>
      <c r="F13" s="69"/>
    </row>
    <row r="14" spans="1:6" ht="12.75">
      <c r="A14" s="3" t="s">
        <v>1637</v>
      </c>
      <c r="B14" s="4" t="str">
        <f>VLOOKUP(A14,Insumos,2)</f>
        <v>canasta 1 (camión volcador)</v>
      </c>
      <c r="C14" s="6" t="str">
        <f>VLOOKUP(A14,Insumos,3)</f>
        <v>h</v>
      </c>
      <c r="D14" s="51">
        <v>0.005</v>
      </c>
      <c r="E14" s="51">
        <f>VLOOKUP(A14,'IN-04-14'!A15:D889,4)</f>
        <v>501.17</v>
      </c>
      <c r="F14" s="69">
        <f>(D14*E14)</f>
        <v>2.50585</v>
      </c>
    </row>
    <row r="15" ht="12.75">
      <c r="D15" s="51"/>
    </row>
    <row r="16" ht="13.5" thickBot="1">
      <c r="D16" s="51"/>
    </row>
    <row r="17" spans="1:7" ht="13.5" thickTop="1">
      <c r="A17" s="75" t="s">
        <v>346</v>
      </c>
      <c r="B17" s="221" t="s">
        <v>196</v>
      </c>
      <c r="C17" s="77" t="str">
        <f>Fecha</f>
        <v>abr-2014</v>
      </c>
      <c r="D17" s="48"/>
      <c r="E17" s="48"/>
      <c r="F17" s="222">
        <f>SUM(F19:F30)</f>
        <v>292.842715</v>
      </c>
      <c r="G17" s="41"/>
    </row>
    <row r="18" spans="1:7" ht="13.5" thickBot="1">
      <c r="A18" s="7" t="s">
        <v>345</v>
      </c>
      <c r="B18" s="7" t="s">
        <v>1697</v>
      </c>
      <c r="C18" s="78" t="s">
        <v>344</v>
      </c>
      <c r="D18" s="49" t="s">
        <v>1831</v>
      </c>
      <c r="E18" s="50"/>
      <c r="F18" s="68"/>
      <c r="G18" s="42" t="s">
        <v>1937</v>
      </c>
    </row>
    <row r="19" spans="1:6" ht="13.5" thickTop="1">
      <c r="A19" s="82" t="s">
        <v>350</v>
      </c>
      <c r="D19" s="51"/>
      <c r="E19" s="51"/>
      <c r="F19" s="69"/>
    </row>
    <row r="20" spans="1:6" ht="12.75">
      <c r="A20" s="232" t="s">
        <v>514</v>
      </c>
      <c r="B20" s="4" t="str">
        <f aca="true" t="shared" si="3" ref="B20:B25">VLOOKUP(A20,Insumos,2)</f>
        <v>membrana s/aluminio 4 mm espesor</v>
      </c>
      <c r="C20" s="6" t="str">
        <f aca="true" t="shared" si="4" ref="C20:C25">VLOOKUP(A20,Insumos,3)</f>
        <v>m2</v>
      </c>
      <c r="D20" s="51">
        <v>1.1</v>
      </c>
      <c r="E20" s="51">
        <f>VLOOKUP(A20,'IN-04-14'!A21:D895,4)</f>
        <v>38.11</v>
      </c>
      <c r="F20" s="69">
        <f aca="true" t="shared" si="5" ref="F20:F26">(D20*E20)</f>
        <v>41.921</v>
      </c>
    </row>
    <row r="21" spans="1:6" ht="12.75">
      <c r="A21" s="3" t="s">
        <v>1645</v>
      </c>
      <c r="B21" s="4" t="str">
        <f t="shared" si="3"/>
        <v>poliestireno expandido 20 mm</v>
      </c>
      <c r="C21" s="6" t="str">
        <f t="shared" si="4"/>
        <v>m2</v>
      </c>
      <c r="D21" s="51">
        <v>1.1</v>
      </c>
      <c r="E21" s="51">
        <f>VLOOKUP(A21,'IN-04-14'!A22:D896,4)</f>
        <v>16.9639</v>
      </c>
      <c r="F21" s="69">
        <f t="shared" si="5"/>
        <v>18.66029</v>
      </c>
    </row>
    <row r="22" spans="1:6" ht="12.75">
      <c r="A22" s="3" t="s">
        <v>1639</v>
      </c>
      <c r="B22" s="4" t="str">
        <f t="shared" si="3"/>
        <v>cemento Portland</v>
      </c>
      <c r="C22" s="6" t="str">
        <f t="shared" si="4"/>
        <v>kg</v>
      </c>
      <c r="D22" s="51">
        <v>1.5</v>
      </c>
      <c r="E22" s="51">
        <f>VLOOKUP(A22,'IN-04-14'!A23:D897,4)</f>
        <v>1.65</v>
      </c>
      <c r="F22" s="69">
        <f t="shared" si="5"/>
        <v>2.4749999999999996</v>
      </c>
    </row>
    <row r="23" spans="1:6" ht="12.75">
      <c r="A23" s="3" t="s">
        <v>1646</v>
      </c>
      <c r="B23" s="4" t="str">
        <f t="shared" si="3"/>
        <v>cal hidratada en bolsa</v>
      </c>
      <c r="C23" s="6" t="str">
        <f t="shared" si="4"/>
        <v>kg</v>
      </c>
      <c r="D23" s="51">
        <v>5.1</v>
      </c>
      <c r="E23" s="51">
        <f>VLOOKUP(A23,'IN-04-14'!A24:D898,4)</f>
        <v>1.57</v>
      </c>
      <c r="F23" s="69">
        <f t="shared" si="5"/>
        <v>8.007</v>
      </c>
    </row>
    <row r="24" spans="1:6" ht="12.75">
      <c r="A24" s="3" t="s">
        <v>1641</v>
      </c>
      <c r="B24" s="4" t="str">
        <f t="shared" si="3"/>
        <v>arena gruesa</v>
      </c>
      <c r="C24" s="6" t="str">
        <f t="shared" si="4"/>
        <v>m3</v>
      </c>
      <c r="D24" s="51">
        <v>0.045</v>
      </c>
      <c r="E24" s="51">
        <f>VLOOKUP(A24,'IN-04-14'!A25:D899,4)</f>
        <v>141.805</v>
      </c>
      <c r="F24" s="69">
        <f t="shared" si="5"/>
        <v>6.381225</v>
      </c>
    </row>
    <row r="25" spans="1:6" ht="12.75">
      <c r="A25" s="3" t="s">
        <v>1654</v>
      </c>
      <c r="B25" s="4" t="str">
        <f t="shared" si="3"/>
        <v>pintura asfáltica base acuosa</v>
      </c>
      <c r="C25" s="6" t="str">
        <f t="shared" si="4"/>
        <v>l</v>
      </c>
      <c r="D25" s="51">
        <v>0.1</v>
      </c>
      <c r="E25" s="51">
        <f>VLOOKUP(A25,'IN-04-14'!A26:D900,4)</f>
        <v>7.105</v>
      </c>
      <c r="F25" s="69">
        <f t="shared" si="5"/>
        <v>0.7105000000000001</v>
      </c>
    </row>
    <row r="26" spans="1:6" ht="12.75">
      <c r="A26" s="3" t="s">
        <v>1655</v>
      </c>
      <c r="B26" s="4" t="str">
        <f>VLOOKUP(A26,'IN-04-14'!$A$5:$D$441,2)</f>
        <v>teja francesa</v>
      </c>
      <c r="C26" s="4" t="str">
        <f>VLOOKUP(A26,'IN-04-14'!$A$5:$D$441,3)</f>
        <v>u</v>
      </c>
      <c r="D26" s="51">
        <v>15</v>
      </c>
      <c r="E26" s="51">
        <f>VLOOKUP(A26,'IN-04-14'!A27:D901,4)</f>
        <v>7.0112</v>
      </c>
      <c r="F26" s="69">
        <f t="shared" si="5"/>
        <v>105.16799999999999</v>
      </c>
    </row>
    <row r="27" spans="1:6" ht="12.75">
      <c r="A27" s="82" t="s">
        <v>351</v>
      </c>
      <c r="D27" s="51"/>
      <c r="E27" s="51"/>
      <c r="F27" s="69"/>
    </row>
    <row r="28" spans="1:6" ht="12.75">
      <c r="A28" s="3" t="s">
        <v>1636</v>
      </c>
      <c r="B28" s="4" t="str">
        <f>VLOOKUP(A28,Insumos,2)</f>
        <v>cuadrilla tipo UOCRA</v>
      </c>
      <c r="C28" s="6" t="str">
        <f>VLOOKUP(A28,Insumos,3)</f>
        <v>h</v>
      </c>
      <c r="D28" s="51">
        <v>1.8</v>
      </c>
      <c r="E28" s="51">
        <f>VLOOKUP(A28,'IN-04-14'!A29:D903,4)</f>
        <v>58.06</v>
      </c>
      <c r="F28" s="69">
        <f>(D28*E28)</f>
        <v>104.50800000000001</v>
      </c>
    </row>
    <row r="29" spans="1:6" ht="12.75">
      <c r="A29" s="82" t="s">
        <v>352</v>
      </c>
      <c r="D29" s="51"/>
      <c r="E29" s="51"/>
      <c r="F29" s="69"/>
    </row>
    <row r="30" spans="1:6" ht="12.75">
      <c r="A30" s="3" t="s">
        <v>1637</v>
      </c>
      <c r="B30" s="4" t="str">
        <f>VLOOKUP(A30,Insumos,2)</f>
        <v>canasta 1 (camión volcador)</v>
      </c>
      <c r="C30" s="6" t="str">
        <f>VLOOKUP(A30,Insumos,3)</f>
        <v>h</v>
      </c>
      <c r="D30" s="51">
        <v>0.01</v>
      </c>
      <c r="E30" s="51">
        <f>VLOOKUP(A30,'IN-04-14'!A31:D905,4)</f>
        <v>501.17</v>
      </c>
      <c r="F30" s="69">
        <f>(D30*E30)</f>
        <v>5.0117</v>
      </c>
    </row>
    <row r="31" ht="13.5" thickBot="1">
      <c r="D31" s="51"/>
    </row>
    <row r="32" spans="1:7" ht="13.5" thickTop="1">
      <c r="A32" s="75" t="s">
        <v>346</v>
      </c>
      <c r="B32" s="221" t="s">
        <v>1698</v>
      </c>
      <c r="C32" s="77" t="str">
        <f>Fecha</f>
        <v>abr-2014</v>
      </c>
      <c r="D32" s="48"/>
      <c r="E32" s="48"/>
      <c r="F32" s="222">
        <f>SUM(F34:F40)</f>
        <v>372.98420000000004</v>
      </c>
      <c r="G32" s="41"/>
    </row>
    <row r="33" spans="1:7" ht="13.5" thickBot="1">
      <c r="A33" s="7" t="s">
        <v>345</v>
      </c>
      <c r="B33" s="7" t="s">
        <v>1697</v>
      </c>
      <c r="C33" s="78" t="s">
        <v>344</v>
      </c>
      <c r="D33" s="49" t="s">
        <v>1763</v>
      </c>
      <c r="E33" s="50"/>
      <c r="F33" s="68"/>
      <c r="G33" s="42" t="s">
        <v>1937</v>
      </c>
    </row>
    <row r="34" spans="1:6" ht="13.5" thickTop="1">
      <c r="A34" s="82" t="s">
        <v>350</v>
      </c>
      <c r="D34" s="51"/>
      <c r="E34" s="51"/>
      <c r="F34" s="69"/>
    </row>
    <row r="35" spans="1:6" ht="12.75">
      <c r="A35" s="3" t="s">
        <v>1644</v>
      </c>
      <c r="B35" s="4" t="str">
        <f>VLOOKUP(A35,Insumos,2)</f>
        <v>chapa de hierro N°16 DD de 1 x 2 m.</v>
      </c>
      <c r="C35" s="6" t="str">
        <f>VLOOKUP(A35,Insumos,3)</f>
        <v>kg</v>
      </c>
      <c r="D35" s="51">
        <v>6</v>
      </c>
      <c r="E35" s="51">
        <f>VLOOKUP(A35,'IN-04-14'!A36:D910,4)</f>
        <v>11.585</v>
      </c>
      <c r="F35" s="69">
        <f>(D35*E35)</f>
        <v>69.51</v>
      </c>
    </row>
    <row r="36" spans="1:6" ht="12.75">
      <c r="A36" s="3" t="s">
        <v>1656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51">
        <v>0.73</v>
      </c>
      <c r="E36" s="51">
        <f>VLOOKUP(A36,'IN-04-14'!A37:D911,4)</f>
        <v>170.25</v>
      </c>
      <c r="F36" s="69">
        <f>(D36*E36)</f>
        <v>124.2825</v>
      </c>
    </row>
    <row r="37" spans="1:6" ht="12.75">
      <c r="A37" s="82" t="s">
        <v>351</v>
      </c>
      <c r="D37" s="51"/>
      <c r="E37" s="51"/>
      <c r="F37" s="69"/>
    </row>
    <row r="38" spans="1:6" ht="12.75">
      <c r="A38" s="3" t="s">
        <v>1636</v>
      </c>
      <c r="B38" s="4" t="str">
        <f>VLOOKUP(A38,Insumos,2)</f>
        <v>cuadrilla tipo UOCRA</v>
      </c>
      <c r="C38" s="6" t="str">
        <f>VLOOKUP(A38,Insumos,3)</f>
        <v>h</v>
      </c>
      <c r="D38" s="51">
        <v>3</v>
      </c>
      <c r="E38" s="51">
        <f>VLOOKUP(A38,'IN-04-14'!A39:D913,4)</f>
        <v>58.06</v>
      </c>
      <c r="F38" s="69">
        <f>(D38*E38)</f>
        <v>174.18</v>
      </c>
    </row>
    <row r="39" spans="1:6" ht="12.75">
      <c r="A39" s="82" t="s">
        <v>352</v>
      </c>
      <c r="D39" s="51"/>
      <c r="E39" s="51"/>
      <c r="F39" s="69"/>
    </row>
    <row r="40" spans="1:6" ht="12.75">
      <c r="A40" s="3" t="s">
        <v>1637</v>
      </c>
      <c r="B40" s="4" t="str">
        <f>VLOOKUP(A40,Insumos,2)</f>
        <v>canasta 1 (camión volcador)</v>
      </c>
      <c r="C40" s="6" t="str">
        <f>VLOOKUP(A40,Insumos,3)</f>
        <v>h</v>
      </c>
      <c r="D40" s="51">
        <v>0.01</v>
      </c>
      <c r="E40" s="51">
        <f>VLOOKUP(A40,'IN-04-14'!A41:D915,4)</f>
        <v>501.17</v>
      </c>
      <c r="F40" s="69">
        <f>(D40*E40)</f>
        <v>5.0117</v>
      </c>
    </row>
    <row r="41" ht="13.5" thickBot="1">
      <c r="D41" s="51"/>
    </row>
    <row r="42" spans="1:7" ht="13.5" thickTop="1">
      <c r="A42" s="75" t="s">
        <v>346</v>
      </c>
      <c r="B42" s="221" t="s">
        <v>1699</v>
      </c>
      <c r="C42" s="77" t="str">
        <f>Fecha</f>
        <v>abr-2014</v>
      </c>
      <c r="D42" s="48"/>
      <c r="E42" s="48"/>
      <c r="F42" s="222">
        <f>SUM(F44:F50)</f>
        <v>336.8342</v>
      </c>
      <c r="G42" s="41"/>
    </row>
    <row r="43" spans="1:7" ht="13.5" thickBot="1">
      <c r="A43" s="7" t="s">
        <v>345</v>
      </c>
      <c r="B43" s="7" t="s">
        <v>1697</v>
      </c>
      <c r="C43" s="78" t="s">
        <v>344</v>
      </c>
      <c r="D43" s="49" t="s">
        <v>1764</v>
      </c>
      <c r="E43" s="50"/>
      <c r="F43" s="68"/>
      <c r="G43" s="42" t="s">
        <v>1937</v>
      </c>
    </row>
    <row r="44" spans="1:6" ht="13.5" thickTop="1">
      <c r="A44" s="82" t="s">
        <v>350</v>
      </c>
      <c r="D44" s="51"/>
      <c r="E44" s="51"/>
      <c r="F44" s="69"/>
    </row>
    <row r="45" spans="1:6" ht="12.75">
      <c r="A45" s="3" t="s">
        <v>1644</v>
      </c>
      <c r="B45" s="4" t="str">
        <f>VLOOKUP(A45,Insumos,2)</f>
        <v>chapa de hierro N°16 DD de 1 x 2 m.</v>
      </c>
      <c r="C45" s="6" t="str">
        <f>VLOOKUP(A45,Insumos,3)</f>
        <v>kg</v>
      </c>
      <c r="D45" s="51">
        <v>6</v>
      </c>
      <c r="E45" s="51">
        <f>VLOOKUP(A45,'IN-04-14'!A46:D920,4)</f>
        <v>11.585</v>
      </c>
      <c r="F45" s="69">
        <f>(D45*E45)</f>
        <v>69.51</v>
      </c>
    </row>
    <row r="46" spans="1:6" ht="12.75">
      <c r="A46" s="3" t="s">
        <v>1657</v>
      </c>
      <c r="B46" s="4" t="str">
        <f>VLOOKUP(A46,Insumos,2)</f>
        <v>chapa H°G° N°27, 3.05 x 1.10 m.</v>
      </c>
      <c r="C46" s="6" t="str">
        <f>VLOOKUP(A46,Insumos,3)</f>
        <v>u</v>
      </c>
      <c r="D46" s="51">
        <v>0.45</v>
      </c>
      <c r="E46" s="51">
        <f>VLOOKUP(A46,'IN-04-14'!A47:D921,4)</f>
        <v>195.85</v>
      </c>
      <c r="F46" s="69">
        <f>(D46*E46)</f>
        <v>88.1325</v>
      </c>
    </row>
    <row r="47" spans="1:6" ht="12.75">
      <c r="A47" s="82" t="s">
        <v>351</v>
      </c>
      <c r="D47" s="51"/>
      <c r="E47" s="51"/>
      <c r="F47" s="69"/>
    </row>
    <row r="48" spans="1:6" ht="12.75">
      <c r="A48" s="3" t="s">
        <v>1636</v>
      </c>
      <c r="B48" s="4" t="str">
        <f>VLOOKUP(A48,Insumos,2)</f>
        <v>cuadrilla tipo UOCRA</v>
      </c>
      <c r="C48" s="6" t="str">
        <f>VLOOKUP(A48,Insumos,3)</f>
        <v>h</v>
      </c>
      <c r="D48" s="51">
        <v>3</v>
      </c>
      <c r="E48" s="51">
        <f>VLOOKUP(A48,'IN-04-14'!A49:D923,4)</f>
        <v>58.06</v>
      </c>
      <c r="F48" s="69">
        <f>(D48*E48)</f>
        <v>174.18</v>
      </c>
    </row>
    <row r="49" spans="1:6" ht="12.75">
      <c r="A49" s="82" t="s">
        <v>352</v>
      </c>
      <c r="D49" s="51"/>
      <c r="E49" s="51"/>
      <c r="F49" s="69"/>
    </row>
    <row r="50" spans="1:6" ht="12.75">
      <c r="A50" s="3" t="s">
        <v>1637</v>
      </c>
      <c r="B50" s="4" t="str">
        <f>VLOOKUP(A50,Insumos,2)</f>
        <v>canasta 1 (camión volcador)</v>
      </c>
      <c r="C50" s="6" t="str">
        <f>VLOOKUP(A50,Insumos,3)</f>
        <v>h</v>
      </c>
      <c r="D50" s="51">
        <v>0.01</v>
      </c>
      <c r="E50" s="51">
        <f>VLOOKUP(A50,'IN-04-14'!A51:D925,4)</f>
        <v>501.17</v>
      </c>
      <c r="F50" s="69">
        <f>(D50*E50)</f>
        <v>5.0117</v>
      </c>
    </row>
    <row r="51" ht="13.5" thickBot="1">
      <c r="D51" s="51"/>
    </row>
    <row r="52" spans="1:7" ht="13.5" thickTop="1">
      <c r="A52" s="75" t="s">
        <v>346</v>
      </c>
      <c r="B52" s="221" t="s">
        <v>1700</v>
      </c>
      <c r="C52" s="77" t="str">
        <f>Fecha</f>
        <v>abr-2014</v>
      </c>
      <c r="D52" s="48"/>
      <c r="E52" s="48"/>
      <c r="F52" s="222">
        <f>SUM(F54:F61)</f>
        <v>323.87570000000005</v>
      </c>
      <c r="G52" s="41"/>
    </row>
    <row r="53" spans="1:7" ht="13.5" thickBot="1">
      <c r="A53" s="7" t="s">
        <v>345</v>
      </c>
      <c r="B53" s="7" t="s">
        <v>1697</v>
      </c>
      <c r="C53" s="78" t="s">
        <v>344</v>
      </c>
      <c r="D53" s="49" t="s">
        <v>1765</v>
      </c>
      <c r="E53" s="50"/>
      <c r="F53" s="68"/>
      <c r="G53" s="42" t="s">
        <v>1937</v>
      </c>
    </row>
    <row r="54" spans="1:6" ht="13.5" thickTop="1">
      <c r="A54" s="82" t="s">
        <v>350</v>
      </c>
      <c r="D54" s="51"/>
      <c r="E54" s="51"/>
      <c r="F54" s="69"/>
    </row>
    <row r="55" spans="1:6" ht="12.75">
      <c r="A55" s="3" t="s">
        <v>1766</v>
      </c>
      <c r="B55" s="4" t="str">
        <f>VLOOKUP(A55,Insumos,2)</f>
        <v>tirante pino 2x3"</v>
      </c>
      <c r="C55" s="6" t="str">
        <f>VLOOKUP(A55,Insumos,3)</f>
        <v>m</v>
      </c>
      <c r="D55" s="51">
        <v>1.1</v>
      </c>
      <c r="E55" s="51">
        <f>VLOOKUP(A55,'IN-04-14'!A56:D930,4)</f>
        <v>16.04</v>
      </c>
      <c r="F55" s="69">
        <f>(D55*E55)</f>
        <v>17.644000000000002</v>
      </c>
    </row>
    <row r="56" spans="1:6" ht="12.75">
      <c r="A56" s="3" t="s">
        <v>1657</v>
      </c>
      <c r="B56" s="4" t="str">
        <f>VLOOKUP(A56,Insumos,2)</f>
        <v>chapa H°G° N°27, 3.05 x 1.10 m.</v>
      </c>
      <c r="C56" s="6" t="str">
        <f>VLOOKUP(A56,Insumos,3)</f>
        <v>u</v>
      </c>
      <c r="D56" s="51">
        <v>0.45</v>
      </c>
      <c r="E56" s="51">
        <f>VLOOKUP(A56,'IN-04-14'!A57:D931,4)</f>
        <v>195.85</v>
      </c>
      <c r="F56" s="69">
        <f>(D56*E56)</f>
        <v>88.1325</v>
      </c>
    </row>
    <row r="57" spans="1:6" ht="12.75">
      <c r="A57" s="3" t="s">
        <v>148</v>
      </c>
      <c r="B57" s="4" t="str">
        <f>VLOOKUP(A57,Insumos,2)</f>
        <v>madera 1" pino nacional s/cepillar</v>
      </c>
      <c r="C57" s="6" t="str">
        <f>VLOOKUP(A57,Insumos,3)</f>
        <v>m2</v>
      </c>
      <c r="D57" s="51">
        <v>0.5</v>
      </c>
      <c r="E57" s="51">
        <f>VLOOKUP(A57,'IN-04-14'!A58:D932,4)</f>
        <v>77.815</v>
      </c>
      <c r="F57" s="69">
        <f>(D57*E57)</f>
        <v>38.9075</v>
      </c>
    </row>
    <row r="58" spans="1:6" ht="12.75">
      <c r="A58" s="82" t="s">
        <v>351</v>
      </c>
      <c r="D58" s="51"/>
      <c r="E58" s="51"/>
      <c r="F58" s="69"/>
    </row>
    <row r="59" spans="1:6" ht="12.75">
      <c r="A59" s="3" t="s">
        <v>1636</v>
      </c>
      <c r="B59" s="4" t="str">
        <f>VLOOKUP(A59,Insumos,2)</f>
        <v>cuadrilla tipo UOCRA</v>
      </c>
      <c r="C59" s="6" t="str">
        <f>VLOOKUP(A59,Insumos,3)</f>
        <v>h</v>
      </c>
      <c r="D59" s="51">
        <v>3</v>
      </c>
      <c r="E59" s="51">
        <f>VLOOKUP(A59,'IN-04-14'!A60:D934,4)</f>
        <v>58.06</v>
      </c>
      <c r="F59" s="69">
        <f>(D59*E59)</f>
        <v>174.18</v>
      </c>
    </row>
    <row r="60" spans="1:6" ht="12.75">
      <c r="A60" s="82" t="s">
        <v>352</v>
      </c>
      <c r="D60" s="51"/>
      <c r="E60" s="51"/>
      <c r="F60" s="69"/>
    </row>
    <row r="61" spans="1:6" ht="12.75">
      <c r="A61" s="3" t="s">
        <v>1637</v>
      </c>
      <c r="B61" s="4" t="str">
        <f>VLOOKUP(A61,Insumos,2)</f>
        <v>canasta 1 (camión volcador)</v>
      </c>
      <c r="C61" s="6" t="str">
        <f>VLOOKUP(A61,Insumos,3)</f>
        <v>h</v>
      </c>
      <c r="D61" s="51">
        <v>0.01</v>
      </c>
      <c r="E61" s="51">
        <f>VLOOKUP(A61,'IN-04-14'!A62:D936,4)</f>
        <v>501.17</v>
      </c>
      <c r="F61" s="69">
        <f>(D61*E61)</f>
        <v>5.0117</v>
      </c>
    </row>
    <row r="62" ht="13.5" thickBot="1">
      <c r="D62" s="51"/>
    </row>
    <row r="63" spans="1:7" ht="13.5" thickTop="1">
      <c r="A63" s="75" t="s">
        <v>346</v>
      </c>
      <c r="B63" s="221" t="s">
        <v>1701</v>
      </c>
      <c r="C63" s="77" t="str">
        <f>Fecha</f>
        <v>abr-2014</v>
      </c>
      <c r="D63" s="48"/>
      <c r="E63" s="48"/>
      <c r="F63" s="222">
        <f>SUM(F65:F77)</f>
        <v>1735.4797199999998</v>
      </c>
      <c r="G63" s="41"/>
    </row>
    <row r="64" spans="1:7" ht="13.5" thickBot="1">
      <c r="A64" s="7" t="s">
        <v>345</v>
      </c>
      <c r="B64" s="7" t="s">
        <v>1697</v>
      </c>
      <c r="C64" s="78" t="s">
        <v>344</v>
      </c>
      <c r="D64" s="49" t="s">
        <v>1743</v>
      </c>
      <c r="E64" s="50"/>
      <c r="F64" s="68"/>
      <c r="G64" s="42" t="s">
        <v>1937</v>
      </c>
    </row>
    <row r="65" spans="1:6" ht="13.5" thickTop="1">
      <c r="A65" s="82" t="s">
        <v>350</v>
      </c>
      <c r="D65" s="51"/>
      <c r="E65" s="51"/>
      <c r="F65" s="69"/>
    </row>
    <row r="66" spans="1:6" ht="12.75">
      <c r="A66" s="3" t="s">
        <v>1639</v>
      </c>
      <c r="B66" s="4" t="str">
        <f aca="true" t="shared" si="6" ref="B66:B72">VLOOKUP(A66,Insumos,2)</f>
        <v>cemento Portland</v>
      </c>
      <c r="C66" s="6" t="str">
        <f aca="true" t="shared" si="7" ref="C66:C72">VLOOKUP(A66,Insumos,3)</f>
        <v>kg</v>
      </c>
      <c r="D66" s="51">
        <v>12</v>
      </c>
      <c r="E66" s="51">
        <f>VLOOKUP(A66,'IN-04-14'!A67:D941,4)</f>
        <v>1.65</v>
      </c>
      <c r="F66" s="69">
        <f aca="true" t="shared" si="8" ref="F66:F73">(D66*E66)</f>
        <v>19.799999999999997</v>
      </c>
    </row>
    <row r="67" spans="1:6" ht="12.75">
      <c r="A67" s="3" t="s">
        <v>1646</v>
      </c>
      <c r="B67" s="4" t="str">
        <f t="shared" si="6"/>
        <v>cal hidratada en bolsa</v>
      </c>
      <c r="C67" s="6" t="str">
        <f t="shared" si="7"/>
        <v>kg</v>
      </c>
      <c r="D67" s="51">
        <v>8</v>
      </c>
      <c r="E67" s="51">
        <f>VLOOKUP(A67,'IN-04-14'!A68:D942,4)</f>
        <v>1.57</v>
      </c>
      <c r="F67" s="69">
        <f t="shared" si="8"/>
        <v>12.56</v>
      </c>
    </row>
    <row r="68" spans="1:6" ht="12.75">
      <c r="A68" s="232" t="s">
        <v>514</v>
      </c>
      <c r="B68" s="4" t="str">
        <f t="shared" si="6"/>
        <v>membrana s/aluminio 4 mm espesor</v>
      </c>
      <c r="C68" s="6" t="str">
        <f t="shared" si="7"/>
        <v>m2</v>
      </c>
      <c r="D68" s="51">
        <v>1.1</v>
      </c>
      <c r="E68" s="51">
        <f>VLOOKUP(A68,'IN-04-14'!A30:D943,4)</f>
        <v>38.11</v>
      </c>
      <c r="F68" s="69">
        <f t="shared" si="8"/>
        <v>41.921</v>
      </c>
    </row>
    <row r="69" spans="1:6" ht="12.75">
      <c r="A69" s="3" t="s">
        <v>1654</v>
      </c>
      <c r="B69" s="4" t="str">
        <f t="shared" si="6"/>
        <v>pintura asfáltica base acuosa</v>
      </c>
      <c r="C69" s="6" t="str">
        <f t="shared" si="7"/>
        <v>l</v>
      </c>
      <c r="D69" s="51">
        <v>0.4</v>
      </c>
      <c r="E69" s="51">
        <f>VLOOKUP(A69,'IN-04-14'!A38:D944,4)</f>
        <v>7.105</v>
      </c>
      <c r="F69" s="69">
        <f t="shared" si="8"/>
        <v>2.8420000000000005</v>
      </c>
    </row>
    <row r="70" spans="1:6" ht="12.75">
      <c r="A70" s="3" t="s">
        <v>1645</v>
      </c>
      <c r="B70" s="4" t="str">
        <f t="shared" si="6"/>
        <v>poliestireno expandido 20 mm</v>
      </c>
      <c r="C70" s="6" t="str">
        <f t="shared" si="7"/>
        <v>m2</v>
      </c>
      <c r="D70" s="51">
        <v>1.05</v>
      </c>
      <c r="E70" s="51">
        <f>VLOOKUP(A70,'IN-04-14'!A39:D945,4)</f>
        <v>16.9639</v>
      </c>
      <c r="F70" s="69">
        <f t="shared" si="8"/>
        <v>17.812095</v>
      </c>
    </row>
    <row r="71" spans="1:6" ht="12.75">
      <c r="A71" s="3" t="s">
        <v>1651</v>
      </c>
      <c r="B71" s="4" t="str">
        <f t="shared" si="6"/>
        <v>ripiosa</v>
      </c>
      <c r="C71" s="6" t="str">
        <f t="shared" si="7"/>
        <v>m3</v>
      </c>
      <c r="D71" s="51">
        <v>0.13</v>
      </c>
      <c r="E71" s="51">
        <f>VLOOKUP(A71,'IN-04-14'!A45:D946,4)</f>
        <v>142.07</v>
      </c>
      <c r="F71" s="69">
        <f t="shared" si="8"/>
        <v>18.4691</v>
      </c>
    </row>
    <row r="72" spans="1:6" ht="12.75">
      <c r="A72" s="3" t="s">
        <v>1641</v>
      </c>
      <c r="B72" s="4" t="str">
        <f t="shared" si="6"/>
        <v>arena gruesa</v>
      </c>
      <c r="C72" s="6" t="str">
        <f t="shared" si="7"/>
        <v>m3</v>
      </c>
      <c r="D72" s="51">
        <v>0.025</v>
      </c>
      <c r="E72" s="51">
        <f>VLOOKUP(A72,'IN-04-14'!A42:D947,4)</f>
        <v>141.805</v>
      </c>
      <c r="F72" s="69">
        <f t="shared" si="8"/>
        <v>3.5451250000000005</v>
      </c>
    </row>
    <row r="73" spans="1:7" s="123" customFormat="1" ht="12.75">
      <c r="A73" s="248" t="s">
        <v>1016</v>
      </c>
      <c r="B73" s="224" t="str">
        <f>VLOOKUP(A73,'IN-04-14'!$A$5:$D$441,2)</f>
        <v>baldosa roja 20x20 tipo azotea</v>
      </c>
      <c r="C73" s="224" t="str">
        <f>VLOOKUP(A73,'IN-04-14'!$A$5:$D$441,3)</f>
        <v>m2</v>
      </c>
      <c r="D73" s="64">
        <v>25</v>
      </c>
      <c r="E73" s="64">
        <f>VLOOKUP(A73,'IN-04-14'!A74:D948,4)</f>
        <v>54.288</v>
      </c>
      <c r="F73" s="225">
        <f t="shared" si="8"/>
        <v>1357.1999999999998</v>
      </c>
      <c r="G73" s="19"/>
    </row>
    <row r="74" spans="1:6" ht="12.75">
      <c r="A74" s="82" t="s">
        <v>351</v>
      </c>
      <c r="D74" s="51"/>
      <c r="E74" s="51"/>
      <c r="F74" s="69"/>
    </row>
    <row r="75" spans="1:6" ht="12.75">
      <c r="A75" s="3" t="s">
        <v>1636</v>
      </c>
      <c r="B75" s="4" t="str">
        <f>VLOOKUP(A75,Insumos,2)</f>
        <v>cuadrilla tipo UOCRA</v>
      </c>
      <c r="C75" s="6" t="str">
        <f>VLOOKUP(A75,Insumos,3)</f>
        <v>h</v>
      </c>
      <c r="D75" s="51">
        <v>4</v>
      </c>
      <c r="E75" s="51">
        <f>VLOOKUP(A75,'IN-04-14'!A76:D950,4)</f>
        <v>58.06</v>
      </c>
      <c r="F75" s="69">
        <f>(D75*E75)</f>
        <v>232.24</v>
      </c>
    </row>
    <row r="76" spans="1:6" ht="12.75">
      <c r="A76" s="82" t="s">
        <v>352</v>
      </c>
      <c r="D76" s="51"/>
      <c r="E76" s="51"/>
      <c r="F76" s="69"/>
    </row>
    <row r="77" spans="1:6" ht="12.75">
      <c r="A77" s="3" t="s">
        <v>1642</v>
      </c>
      <c r="B77" s="4" t="str">
        <f>VLOOKUP(A77,Insumos,2)</f>
        <v>canasta 2 (mixer 5m3)</v>
      </c>
      <c r="C77" s="6" t="str">
        <f>VLOOKUP(A77,Insumos,3)</f>
        <v>h</v>
      </c>
      <c r="D77" s="51">
        <v>0.04</v>
      </c>
      <c r="E77" s="51">
        <f>VLOOKUP(A77,'IN-04-14'!A78:D952,4)</f>
        <v>727.26</v>
      </c>
      <c r="F77" s="69">
        <f>(D77*E77)</f>
        <v>29.0904</v>
      </c>
    </row>
    <row r="78" spans="1:6" ht="12.75">
      <c r="A78" s="3"/>
      <c r="B78" s="4"/>
      <c r="C78" s="6"/>
      <c r="D78" s="51"/>
      <c r="E78" s="51"/>
      <c r="F78" s="69"/>
    </row>
    <row r="79" ht="13.5" thickBot="1">
      <c r="D79" s="51"/>
    </row>
    <row r="80" spans="1:7" ht="13.5" thickTop="1">
      <c r="A80" s="75" t="s">
        <v>346</v>
      </c>
      <c r="B80" s="221" t="s">
        <v>1702</v>
      </c>
      <c r="C80" s="77" t="str">
        <f>Fecha</f>
        <v>abr-2014</v>
      </c>
      <c r="D80" s="48"/>
      <c r="E80" s="48"/>
      <c r="F80" s="222">
        <f>SUM(F82:F93)</f>
        <v>546.5247700000001</v>
      </c>
      <c r="G80" s="41"/>
    </row>
    <row r="81" spans="1:7" ht="13.5" thickBot="1">
      <c r="A81" s="7" t="s">
        <v>345</v>
      </c>
      <c r="B81" s="7" t="s">
        <v>1697</v>
      </c>
      <c r="C81" s="78" t="s">
        <v>344</v>
      </c>
      <c r="D81" s="49" t="s">
        <v>1744</v>
      </c>
      <c r="E81" s="50"/>
      <c r="F81" s="68"/>
      <c r="G81" s="42" t="s">
        <v>1937</v>
      </c>
    </row>
    <row r="82" spans="1:6" ht="13.5" thickTop="1">
      <c r="A82" s="82" t="s">
        <v>350</v>
      </c>
      <c r="D82" s="51"/>
      <c r="E82" s="51"/>
      <c r="F82" s="69"/>
    </row>
    <row r="83" spans="1:6" ht="12.75">
      <c r="A83" s="3" t="s">
        <v>1639</v>
      </c>
      <c r="B83" s="4" t="str">
        <f aca="true" t="shared" si="9" ref="B83:B89">VLOOKUP(A83,Insumos,2)</f>
        <v>cemento Portland</v>
      </c>
      <c r="C83" s="6" t="str">
        <f aca="true" t="shared" si="10" ref="C83:C89">VLOOKUP(A83,Insumos,3)</f>
        <v>kg</v>
      </c>
      <c r="D83" s="51">
        <v>25</v>
      </c>
      <c r="E83" s="51">
        <f>VLOOKUP(A83,'IN-04-14'!A84:D958,4)</f>
        <v>1.65</v>
      </c>
      <c r="F83" s="69">
        <f aca="true" t="shared" si="11" ref="F83:F89">(D83*E83)</f>
        <v>41.25</v>
      </c>
    </row>
    <row r="84" spans="1:6" ht="12.75">
      <c r="A84" s="3" t="s">
        <v>1638</v>
      </c>
      <c r="B84" s="4" t="str">
        <f t="shared" si="9"/>
        <v>hierro mejorado de 10 mm.</v>
      </c>
      <c r="C84" s="6" t="str">
        <f t="shared" si="10"/>
        <v>kg</v>
      </c>
      <c r="D84" s="51">
        <v>1.5</v>
      </c>
      <c r="E84" s="51">
        <f>VLOOKUP(A84,'IN-04-14'!A7:D959,4)</f>
        <v>9.3933</v>
      </c>
      <c r="F84" s="69">
        <f t="shared" si="11"/>
        <v>14.08995</v>
      </c>
    </row>
    <row r="85" spans="1:6" ht="12.75">
      <c r="A85" s="3" t="s">
        <v>1640</v>
      </c>
      <c r="B85" s="4" t="str">
        <f t="shared" si="9"/>
        <v>ripio zarandeado 1/3</v>
      </c>
      <c r="C85" s="6" t="str">
        <f t="shared" si="10"/>
        <v>m3</v>
      </c>
      <c r="D85" s="51">
        <v>0.05</v>
      </c>
      <c r="E85" s="51">
        <f>VLOOKUP(A85,'IN-04-14'!A44:D960,4)</f>
        <v>126.06</v>
      </c>
      <c r="F85" s="69">
        <f t="shared" si="11"/>
        <v>6.303000000000001</v>
      </c>
    </row>
    <row r="86" spans="1:6" ht="12.75">
      <c r="A86" s="3" t="s">
        <v>1641</v>
      </c>
      <c r="B86" s="4" t="str">
        <f t="shared" si="9"/>
        <v>arena gruesa</v>
      </c>
      <c r="C86" s="6" t="str">
        <f t="shared" si="10"/>
        <v>m3</v>
      </c>
      <c r="D86" s="51">
        <v>0.04</v>
      </c>
      <c r="E86" s="51">
        <f>VLOOKUP(A86,'IN-04-14'!A42:D961,4)</f>
        <v>141.805</v>
      </c>
      <c r="F86" s="69">
        <f t="shared" si="11"/>
        <v>5.6722</v>
      </c>
    </row>
    <row r="87" spans="1:6" ht="12.75">
      <c r="A87" s="3" t="s">
        <v>1658</v>
      </c>
      <c r="B87" s="4" t="str">
        <f t="shared" si="9"/>
        <v>bovedilla cerámica para viguetas 12,5x40x25</v>
      </c>
      <c r="C87" s="6" t="str">
        <f t="shared" si="10"/>
        <v>u</v>
      </c>
      <c r="D87" s="51">
        <v>8</v>
      </c>
      <c r="E87" s="51">
        <f>VLOOKUP(A87,'IN-04-14'!A88:D962,4)</f>
        <v>7.88</v>
      </c>
      <c r="F87" s="69">
        <f t="shared" si="11"/>
        <v>63.04</v>
      </c>
    </row>
    <row r="88" spans="1:6" ht="12.75">
      <c r="A88" s="3" t="s">
        <v>1767</v>
      </c>
      <c r="B88" s="4" t="str">
        <f t="shared" si="9"/>
        <v>malla Sima Q92</v>
      </c>
      <c r="C88" s="6" t="str">
        <f t="shared" si="10"/>
        <v>kg</v>
      </c>
      <c r="D88" s="51">
        <v>1.3</v>
      </c>
      <c r="E88" s="51">
        <f>VLOOKUP(A88,'IN-04-14'!A11:D963,4)</f>
        <v>15.6414</v>
      </c>
      <c r="F88" s="69">
        <f t="shared" si="11"/>
        <v>20.333820000000003</v>
      </c>
    </row>
    <row r="89" spans="1:6" ht="12.75">
      <c r="A89" s="3" t="s">
        <v>1659</v>
      </c>
      <c r="B89" s="4" t="str">
        <f t="shared" si="9"/>
        <v>viguetas pretensadas 3.90 m.</v>
      </c>
      <c r="C89" s="6" t="str">
        <f t="shared" si="10"/>
        <v>m</v>
      </c>
      <c r="D89" s="51">
        <v>2.2</v>
      </c>
      <c r="E89" s="51">
        <f>VLOOKUP(A89,'IN-04-14'!A55:D964,4)</f>
        <v>35.5616</v>
      </c>
      <c r="F89" s="69">
        <f t="shared" si="11"/>
        <v>78.23552000000001</v>
      </c>
    </row>
    <row r="90" spans="1:6" ht="12.75">
      <c r="A90" s="82" t="s">
        <v>351</v>
      </c>
      <c r="D90" s="51"/>
      <c r="E90" s="51"/>
      <c r="F90" s="69"/>
    </row>
    <row r="91" spans="1:6" ht="12.75">
      <c r="A91" s="3" t="s">
        <v>1636</v>
      </c>
      <c r="B91" s="4" t="str">
        <f>VLOOKUP(A91,Insumos,2)</f>
        <v>cuadrilla tipo UOCRA</v>
      </c>
      <c r="C91" s="6" t="str">
        <f>VLOOKUP(A91,Insumos,3)</f>
        <v>h</v>
      </c>
      <c r="D91" s="51">
        <v>5.37</v>
      </c>
      <c r="E91" s="51">
        <f>VLOOKUP(A91,'IN-04-14'!A92:D966,4)</f>
        <v>58.06</v>
      </c>
      <c r="F91" s="69">
        <f>(D91*E91)</f>
        <v>311.78220000000005</v>
      </c>
    </row>
    <row r="92" spans="1:6" ht="12.75">
      <c r="A92" s="82" t="s">
        <v>352</v>
      </c>
      <c r="D92" s="51"/>
      <c r="E92" s="51"/>
      <c r="F92" s="69"/>
    </row>
    <row r="93" spans="1:6" ht="12.75">
      <c r="A93" s="3" t="s">
        <v>1642</v>
      </c>
      <c r="B93" s="4" t="str">
        <f>VLOOKUP(A93,Insumos,2)</f>
        <v>canasta 2 (mixer 5m3)</v>
      </c>
      <c r="C93" s="6" t="str">
        <f>VLOOKUP(A93,Insumos,3)</f>
        <v>h</v>
      </c>
      <c r="D93" s="51">
        <v>0.008</v>
      </c>
      <c r="E93" s="51">
        <f>VLOOKUP(A93,'IN-04-14'!A94:D968,4)</f>
        <v>727.26</v>
      </c>
      <c r="F93" s="69">
        <f>(D93*E93)</f>
        <v>5.81808</v>
      </c>
    </row>
    <row r="94" ht="13.5" thickBot="1">
      <c r="D94" s="51"/>
    </row>
    <row r="95" spans="1:7" ht="13.5" thickTop="1">
      <c r="A95" s="75" t="s">
        <v>346</v>
      </c>
      <c r="B95" s="221" t="s">
        <v>385</v>
      </c>
      <c r="C95" s="77" t="str">
        <f>Fecha</f>
        <v>abr-2014</v>
      </c>
      <c r="D95" s="48"/>
      <c r="E95" s="48"/>
      <c r="F95" s="222">
        <f>SUM(F97:F103)</f>
        <v>339.33570000000003</v>
      </c>
      <c r="G95" s="41"/>
    </row>
    <row r="96" spans="1:7" ht="13.5" thickBot="1">
      <c r="A96" s="7" t="s">
        <v>345</v>
      </c>
      <c r="B96" s="7" t="s">
        <v>1697</v>
      </c>
      <c r="C96" s="78" t="s">
        <v>344</v>
      </c>
      <c r="D96" s="49" t="s">
        <v>383</v>
      </c>
      <c r="E96" s="50"/>
      <c r="F96" s="68"/>
      <c r="G96" s="42" t="s">
        <v>1937</v>
      </c>
    </row>
    <row r="97" spans="1:6" ht="13.5" thickTop="1">
      <c r="A97" s="82" t="s">
        <v>350</v>
      </c>
      <c r="D97" s="51"/>
      <c r="E97" s="51"/>
      <c r="F97" s="69"/>
    </row>
    <row r="98" spans="1:6" ht="12.75">
      <c r="A98" s="3" t="s">
        <v>1644</v>
      </c>
      <c r="B98" s="4" t="str">
        <f>VLOOKUP(A98,Insumos,2)</f>
        <v>chapa de hierro N°16 DD de 1 x 2 m.</v>
      </c>
      <c r="C98" s="6" t="str">
        <f>VLOOKUP(A98,Insumos,3)</f>
        <v>kg</v>
      </c>
      <c r="D98" s="51">
        <v>3</v>
      </c>
      <c r="E98" s="51">
        <f>VLOOKUP(A98,'IN-04-14'!A62:D973,4)</f>
        <v>11.585</v>
      </c>
      <c r="F98" s="69">
        <f>(D98*E98)</f>
        <v>34.755</v>
      </c>
    </row>
    <row r="99" spans="1:6" ht="12.75">
      <c r="A99" s="3" t="s">
        <v>31</v>
      </c>
      <c r="B99" s="4" t="str">
        <f>VLOOKUP(A99,'IN-04-14'!$A$5:$D$441,2)</f>
        <v>policarbonato 4mm</v>
      </c>
      <c r="C99" s="4" t="str">
        <f>VLOOKUP(A99,'IN-04-14'!$A$5:$D$441,3)</f>
        <v>m2</v>
      </c>
      <c r="D99" s="51">
        <v>1.1</v>
      </c>
      <c r="E99" s="51">
        <f>VLOOKUP(A99,'IN-04-14'!A100:D974,4)</f>
        <v>113.99</v>
      </c>
      <c r="F99" s="69">
        <f>(D99*E99)</f>
        <v>125.38900000000001</v>
      </c>
    </row>
    <row r="100" spans="1:6" ht="12.75">
      <c r="A100" s="82" t="s">
        <v>351</v>
      </c>
      <c r="D100" s="51"/>
      <c r="E100" s="51"/>
      <c r="F100" s="69"/>
    </row>
    <row r="101" spans="1:6" ht="12.75">
      <c r="A101" s="3" t="s">
        <v>1636</v>
      </c>
      <c r="B101" s="4" t="str">
        <f>VLOOKUP(A101,Insumos,2)</f>
        <v>cuadrilla tipo UOCRA</v>
      </c>
      <c r="C101" s="6" t="str">
        <f>VLOOKUP(A101,Insumos,3)</f>
        <v>h</v>
      </c>
      <c r="D101" s="51">
        <v>3</v>
      </c>
      <c r="E101" s="51">
        <f>VLOOKUP(A101,'IN-04-14'!A102:D976,4)</f>
        <v>58.06</v>
      </c>
      <c r="F101" s="69">
        <f>(D101*E101)</f>
        <v>174.18</v>
      </c>
    </row>
    <row r="102" spans="1:6" ht="12.75">
      <c r="A102" s="82" t="s">
        <v>352</v>
      </c>
      <c r="D102" s="51"/>
      <c r="E102" s="51"/>
      <c r="F102" s="69"/>
    </row>
    <row r="103" spans="1:6" ht="12.75">
      <c r="A103" s="3" t="s">
        <v>1637</v>
      </c>
      <c r="B103" s="4" t="str">
        <f>VLOOKUP(A103,Insumos,2)</f>
        <v>canasta 1 (camión volcador)</v>
      </c>
      <c r="C103" s="6" t="str">
        <f>VLOOKUP(A103,Insumos,3)</f>
        <v>h</v>
      </c>
      <c r="D103" s="51">
        <v>0.01</v>
      </c>
      <c r="E103" s="51">
        <f>VLOOKUP(A103,'IN-04-14'!A104:D978,4)</f>
        <v>501.17</v>
      </c>
      <c r="F103" s="69">
        <f>(D103*E103)</f>
        <v>5.0117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</sheetPr>
  <dimension ref="A1:G78"/>
  <sheetViews>
    <sheetView showGridLines="0" zoomScale="90" zoomScaleNormal="90" zoomScaleSheetLayoutView="75" zoomScalePageLayoutView="0" workbookViewId="0" topLeftCell="A1">
      <selection activeCell="I12" sqref="I1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346</v>
      </c>
      <c r="B2" s="8" t="s">
        <v>1703</v>
      </c>
      <c r="C2" s="77" t="str">
        <f>Fecha</f>
        <v>abr-2014</v>
      </c>
      <c r="D2" s="48"/>
      <c r="E2" s="48"/>
      <c r="F2" s="67">
        <f>SUM(F4:F14)</f>
        <v>263.53188700000004</v>
      </c>
      <c r="G2" s="41"/>
    </row>
    <row r="3" spans="1:7" ht="13.5" thickBot="1">
      <c r="A3" s="7" t="s">
        <v>345</v>
      </c>
      <c r="B3" s="7" t="s">
        <v>1704</v>
      </c>
      <c r="C3" s="78" t="s">
        <v>344</v>
      </c>
      <c r="D3" s="49" t="s">
        <v>1745</v>
      </c>
      <c r="E3" s="50"/>
      <c r="F3" s="68"/>
      <c r="G3" s="42" t="s">
        <v>1937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1639</v>
      </c>
      <c r="B5" s="4" t="str">
        <f aca="true" t="shared" si="0" ref="B5:B10">VLOOKUP(A5,Insumos,2)</f>
        <v>cemento Portland</v>
      </c>
      <c r="C5" s="6" t="str">
        <f aca="true" t="shared" si="1" ref="C5:C10">VLOOKUP(A5,Insumos,3)</f>
        <v>kg</v>
      </c>
      <c r="D5" s="51">
        <v>4</v>
      </c>
      <c r="E5" s="51">
        <f aca="true" t="shared" si="2" ref="E5:E10">VLOOKUP(A5,Insumos,4)</f>
        <v>1.65</v>
      </c>
      <c r="F5" s="69">
        <f aca="true" t="shared" si="3" ref="F5:F10">(D5*E5)</f>
        <v>6.6</v>
      </c>
    </row>
    <row r="6" spans="1:6" ht="12.75">
      <c r="A6" s="3" t="s">
        <v>1646</v>
      </c>
      <c r="B6" s="4" t="str">
        <f t="shared" si="0"/>
        <v>cal hidratada en bolsa</v>
      </c>
      <c r="C6" s="6" t="str">
        <f t="shared" si="1"/>
        <v>kg</v>
      </c>
      <c r="D6" s="51">
        <v>3.1</v>
      </c>
      <c r="E6" s="51">
        <f t="shared" si="2"/>
        <v>1.57</v>
      </c>
      <c r="F6" s="69">
        <f t="shared" si="3"/>
        <v>4.867</v>
      </c>
    </row>
    <row r="7" spans="1:6" ht="12.75">
      <c r="A7" s="3" t="s">
        <v>148</v>
      </c>
      <c r="B7" s="4" t="str">
        <f t="shared" si="0"/>
        <v>madera 1" pino nacional s/cepillar</v>
      </c>
      <c r="C7" s="6" t="str">
        <f t="shared" si="1"/>
        <v>m2</v>
      </c>
      <c r="D7" s="51">
        <v>0.5</v>
      </c>
      <c r="E7" s="51">
        <f t="shared" si="2"/>
        <v>77.815</v>
      </c>
      <c r="F7" s="69">
        <f t="shared" si="3"/>
        <v>38.9075</v>
      </c>
    </row>
    <row r="8" spans="1:6" ht="12.75">
      <c r="A8" s="3" t="s">
        <v>1660</v>
      </c>
      <c r="B8" s="4" t="str">
        <f t="shared" si="0"/>
        <v>metal desplegado 0.75mx2.00m.</v>
      </c>
      <c r="C8" s="6" t="str">
        <f t="shared" si="1"/>
        <v>u</v>
      </c>
      <c r="D8" s="51">
        <v>1.31</v>
      </c>
      <c r="E8" s="51">
        <f t="shared" si="2"/>
        <v>18.6167</v>
      </c>
      <c r="F8" s="69">
        <f t="shared" si="3"/>
        <v>24.387877000000003</v>
      </c>
    </row>
    <row r="9" spans="1:6" ht="12.75">
      <c r="A9" s="3" t="s">
        <v>1641</v>
      </c>
      <c r="B9" s="4" t="str">
        <f t="shared" si="0"/>
        <v>arena gruesa</v>
      </c>
      <c r="C9" s="6" t="str">
        <f t="shared" si="1"/>
        <v>m3</v>
      </c>
      <c r="D9" s="51">
        <v>0.03</v>
      </c>
      <c r="E9" s="51">
        <f t="shared" si="2"/>
        <v>141.805</v>
      </c>
      <c r="F9" s="69">
        <f t="shared" si="3"/>
        <v>4.25415</v>
      </c>
    </row>
    <row r="10" spans="1:6" ht="12.75">
      <c r="A10" s="3" t="s">
        <v>1761</v>
      </c>
      <c r="B10" s="4" t="str">
        <f t="shared" si="0"/>
        <v>listones pino 1x2"</v>
      </c>
      <c r="C10" s="6" t="str">
        <f t="shared" si="1"/>
        <v>m</v>
      </c>
      <c r="D10" s="51">
        <v>2.2</v>
      </c>
      <c r="E10" s="51">
        <f t="shared" si="2"/>
        <v>4.195</v>
      </c>
      <c r="F10" s="69">
        <f t="shared" si="3"/>
        <v>9.229000000000001</v>
      </c>
    </row>
    <row r="11" spans="1:6" ht="12.75">
      <c r="A11" s="82" t="s">
        <v>351</v>
      </c>
      <c r="D11" s="51"/>
      <c r="E11" s="51"/>
      <c r="F11" s="69"/>
    </row>
    <row r="12" spans="1:6" ht="12.75">
      <c r="A12" s="3" t="s">
        <v>1636</v>
      </c>
      <c r="B12" s="4" t="str">
        <f>VLOOKUP(A12,Insumos,2)</f>
        <v>cuadrilla tipo UOCRA</v>
      </c>
      <c r="C12" s="6" t="str">
        <f>VLOOKUP(A12,Insumos,3)</f>
        <v>h</v>
      </c>
      <c r="D12" s="51">
        <v>2.95</v>
      </c>
      <c r="E12" s="51">
        <f>VLOOKUP(A12,Insumos,4)</f>
        <v>58.06</v>
      </c>
      <c r="F12" s="69">
        <f>(D12*E12)</f>
        <v>171.27700000000002</v>
      </c>
    </row>
    <row r="13" spans="1:6" ht="12.75">
      <c r="A13" s="82" t="s">
        <v>352</v>
      </c>
      <c r="D13" s="51"/>
      <c r="E13" s="51"/>
      <c r="F13" s="69"/>
    </row>
    <row r="14" spans="1:6" ht="12.75">
      <c r="A14" s="3" t="s">
        <v>1637</v>
      </c>
      <c r="B14" s="4" t="str">
        <f>VLOOKUP(A14,Insumos,2)</f>
        <v>canasta 1 (camión volcador)</v>
      </c>
      <c r="C14" s="6" t="str">
        <f>VLOOKUP(A14,Insumos,3)</f>
        <v>h</v>
      </c>
      <c r="D14" s="51">
        <v>0.008</v>
      </c>
      <c r="E14" s="51">
        <f>VLOOKUP(A14,Insumos,4)</f>
        <v>501.17</v>
      </c>
      <c r="F14" s="69">
        <f>(D14*E14)</f>
        <v>4.00936</v>
      </c>
    </row>
    <row r="15" ht="13.5" thickBot="1">
      <c r="D15" s="51"/>
    </row>
    <row r="16" spans="1:7" ht="13.5" thickTop="1">
      <c r="A16" s="75" t="s">
        <v>346</v>
      </c>
      <c r="B16" s="8" t="s">
        <v>1705</v>
      </c>
      <c r="C16" s="77" t="str">
        <f>Fecha</f>
        <v>abr-2014</v>
      </c>
      <c r="D16" s="48"/>
      <c r="E16" s="48"/>
      <c r="F16" s="67">
        <f>SUM(F18:F29)</f>
        <v>317.88796700000006</v>
      </c>
      <c r="G16" s="41"/>
    </row>
    <row r="17" spans="1:7" ht="13.5" thickBot="1">
      <c r="A17" s="7" t="s">
        <v>345</v>
      </c>
      <c r="B17" s="7" t="s">
        <v>1704</v>
      </c>
      <c r="C17" s="78" t="s">
        <v>344</v>
      </c>
      <c r="D17" s="49" t="s">
        <v>1747</v>
      </c>
      <c r="E17" s="50"/>
      <c r="F17" s="68"/>
      <c r="G17" s="42" t="s">
        <v>1937</v>
      </c>
    </row>
    <row r="18" spans="1:6" ht="13.5" thickTop="1">
      <c r="A18" s="82" t="s">
        <v>350</v>
      </c>
      <c r="D18" s="51"/>
      <c r="E18" s="51"/>
      <c r="F18" s="69"/>
    </row>
    <row r="19" spans="1:6" ht="12.75">
      <c r="A19" s="3" t="s">
        <v>1639</v>
      </c>
      <c r="B19" s="4" t="str">
        <f aca="true" t="shared" si="4" ref="B19:B25">VLOOKUP(A19,Insumos,2)</f>
        <v>cemento Portland</v>
      </c>
      <c r="C19" s="6" t="str">
        <f aca="true" t="shared" si="5" ref="C19:C25">VLOOKUP(A19,Insumos,3)</f>
        <v>kg</v>
      </c>
      <c r="D19" s="51">
        <v>4</v>
      </c>
      <c r="E19" s="51">
        <f aca="true" t="shared" si="6" ref="E19:E25">VLOOKUP(A19,Insumos,4)</f>
        <v>1.65</v>
      </c>
      <c r="F19" s="69">
        <f aca="true" t="shared" si="7" ref="F19:F25">(D19*E19)</f>
        <v>6.6</v>
      </c>
    </row>
    <row r="20" spans="1:6" ht="12.75">
      <c r="A20" s="3" t="s">
        <v>1646</v>
      </c>
      <c r="B20" s="4" t="str">
        <f t="shared" si="4"/>
        <v>cal hidratada en bolsa</v>
      </c>
      <c r="C20" s="6" t="str">
        <f t="shared" si="5"/>
        <v>kg</v>
      </c>
      <c r="D20" s="51">
        <v>1.1</v>
      </c>
      <c r="E20" s="51">
        <f t="shared" si="6"/>
        <v>1.57</v>
      </c>
      <c r="F20" s="69">
        <f t="shared" si="7"/>
        <v>1.7270000000000003</v>
      </c>
    </row>
    <row r="21" spans="1:6" ht="12.75">
      <c r="A21" s="3" t="s">
        <v>148</v>
      </c>
      <c r="B21" s="4" t="str">
        <f t="shared" si="4"/>
        <v>madera 1" pino nacional s/cepillar</v>
      </c>
      <c r="C21" s="6" t="str">
        <f t="shared" si="5"/>
        <v>m2</v>
      </c>
      <c r="D21" s="51">
        <v>0.5</v>
      </c>
      <c r="E21" s="51">
        <f t="shared" si="6"/>
        <v>77.815</v>
      </c>
      <c r="F21" s="69">
        <f t="shared" si="7"/>
        <v>38.9075</v>
      </c>
    </row>
    <row r="22" spans="1:6" ht="12.75">
      <c r="A22" s="3" t="s">
        <v>1660</v>
      </c>
      <c r="B22" s="4" t="str">
        <f t="shared" si="4"/>
        <v>metal desplegado 0.75mx2.00m.</v>
      </c>
      <c r="C22" s="6" t="str">
        <f t="shared" si="5"/>
        <v>u</v>
      </c>
      <c r="D22" s="51">
        <v>1.31</v>
      </c>
      <c r="E22" s="51">
        <f t="shared" si="6"/>
        <v>18.6167</v>
      </c>
      <c r="F22" s="69">
        <f t="shared" si="7"/>
        <v>24.387877000000003</v>
      </c>
    </row>
    <row r="23" spans="1:6" ht="12.75">
      <c r="A23" s="3" t="s">
        <v>1641</v>
      </c>
      <c r="B23" s="4" t="str">
        <f t="shared" si="4"/>
        <v>arena gruesa</v>
      </c>
      <c r="C23" s="6" t="str">
        <f t="shared" si="5"/>
        <v>m3</v>
      </c>
      <c r="D23" s="51">
        <v>0.006</v>
      </c>
      <c r="E23" s="51">
        <f t="shared" si="6"/>
        <v>141.805</v>
      </c>
      <c r="F23" s="69">
        <f t="shared" si="7"/>
        <v>0.8508300000000001</v>
      </c>
    </row>
    <row r="24" spans="1:6" ht="12.75">
      <c r="A24" s="3" t="s">
        <v>1650</v>
      </c>
      <c r="B24" s="4" t="str">
        <f t="shared" si="4"/>
        <v>yeso blanco</v>
      </c>
      <c r="C24" s="6" t="str">
        <f t="shared" si="5"/>
        <v>kg</v>
      </c>
      <c r="D24" s="51">
        <v>18</v>
      </c>
      <c r="E24" s="51">
        <f t="shared" si="6"/>
        <v>3.3833</v>
      </c>
      <c r="F24" s="69">
        <f t="shared" si="7"/>
        <v>60.8994</v>
      </c>
    </row>
    <row r="25" spans="1:6" ht="12.75">
      <c r="A25" s="3" t="s">
        <v>1761</v>
      </c>
      <c r="B25" s="4" t="str">
        <f t="shared" si="4"/>
        <v>listones pino 1x2"</v>
      </c>
      <c r="C25" s="6" t="str">
        <f t="shared" si="5"/>
        <v>m</v>
      </c>
      <c r="D25" s="51">
        <v>2.2</v>
      </c>
      <c r="E25" s="51">
        <f t="shared" si="6"/>
        <v>4.195</v>
      </c>
      <c r="F25" s="69">
        <f t="shared" si="7"/>
        <v>9.229000000000001</v>
      </c>
    </row>
    <row r="26" spans="1:6" ht="12.75">
      <c r="A26" s="82" t="s">
        <v>351</v>
      </c>
      <c r="D26" s="51"/>
      <c r="E26" s="51"/>
      <c r="F26" s="69"/>
    </row>
    <row r="27" spans="1:6" ht="12.75">
      <c r="A27" s="3" t="s">
        <v>1636</v>
      </c>
      <c r="B27" s="4" t="str">
        <f>VLOOKUP(A27,Insumos,2)</f>
        <v>cuadrilla tipo UOCRA</v>
      </c>
      <c r="C27" s="6" t="str">
        <f>VLOOKUP(A27,Insumos,3)</f>
        <v>h</v>
      </c>
      <c r="D27" s="51">
        <v>2.95</v>
      </c>
      <c r="E27" s="51">
        <f>VLOOKUP(A27,Insumos,4)</f>
        <v>58.06</v>
      </c>
      <c r="F27" s="69">
        <f>(D27*E27)</f>
        <v>171.27700000000002</v>
      </c>
    </row>
    <row r="28" spans="1:6" ht="12.75">
      <c r="A28" s="82" t="s">
        <v>352</v>
      </c>
      <c r="D28" s="51"/>
      <c r="E28" s="51"/>
      <c r="F28" s="69"/>
    </row>
    <row r="29" spans="1:6" ht="12.75">
      <c r="A29" s="3" t="s">
        <v>1637</v>
      </c>
      <c r="B29" s="4" t="str">
        <f>VLOOKUP(A29,Insumos,2)</f>
        <v>canasta 1 (camión volcador)</v>
      </c>
      <c r="C29" s="6" t="str">
        <f>VLOOKUP(A29,Insumos,3)</f>
        <v>h</v>
      </c>
      <c r="D29" s="51">
        <v>0.008</v>
      </c>
      <c r="E29" s="51">
        <f>VLOOKUP(A29,Insumos,4)</f>
        <v>501.17</v>
      </c>
      <c r="F29" s="69">
        <f>(D29*E29)</f>
        <v>4.00936</v>
      </c>
    </row>
    <row r="30" spans="3:4" ht="13.5" thickBot="1">
      <c r="C30" s="6"/>
      <c r="D30" s="51"/>
    </row>
    <row r="31" spans="1:7" ht="13.5" thickTop="1">
      <c r="A31" s="75" t="s">
        <v>346</v>
      </c>
      <c r="B31" s="8" t="s">
        <v>1706</v>
      </c>
      <c r="C31" s="77" t="str">
        <f>Fecha</f>
        <v>abr-2014</v>
      </c>
      <c r="D31" s="48"/>
      <c r="E31" s="48"/>
      <c r="F31" s="67">
        <f>SUM(F33:F38)</f>
        <v>252.41485999999998</v>
      </c>
      <c r="G31" s="41"/>
    </row>
    <row r="32" spans="1:7" ht="13.5" thickBot="1">
      <c r="A32" s="7" t="s">
        <v>345</v>
      </c>
      <c r="B32" s="7" t="s">
        <v>1704</v>
      </c>
      <c r="C32" s="78" t="s">
        <v>344</v>
      </c>
      <c r="D32" s="49" t="s">
        <v>1748</v>
      </c>
      <c r="E32" s="50"/>
      <c r="F32" s="68"/>
      <c r="G32" s="42" t="s">
        <v>1937</v>
      </c>
    </row>
    <row r="33" spans="1:6" ht="13.5" thickTop="1">
      <c r="A33" s="82" t="s">
        <v>350</v>
      </c>
      <c r="D33" s="51"/>
      <c r="E33" s="51"/>
      <c r="F33" s="69"/>
    </row>
    <row r="34" spans="1:6" ht="12.75">
      <c r="A34" s="3" t="s">
        <v>148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1.7</v>
      </c>
      <c r="E34" s="51">
        <f>VLOOKUP(A34,Insumos,4)</f>
        <v>77.815</v>
      </c>
      <c r="F34" s="69">
        <f>(D34*E34)</f>
        <v>132.28549999999998</v>
      </c>
    </row>
    <row r="35" spans="1:6" ht="12.75">
      <c r="A35" s="82" t="s">
        <v>351</v>
      </c>
      <c r="D35" s="51"/>
      <c r="E35" s="51"/>
      <c r="F35" s="69"/>
    </row>
    <row r="36" spans="1:6" ht="12.75">
      <c r="A36" s="3" t="s">
        <v>1636</v>
      </c>
      <c r="B36" s="4" t="str">
        <f>VLOOKUP(A36,Insumos,2)</f>
        <v>cuadrilla tipo UOCRA</v>
      </c>
      <c r="C36" s="6" t="str">
        <f>VLOOKUP(A36,Insumos,3)</f>
        <v>h</v>
      </c>
      <c r="D36" s="51">
        <v>2</v>
      </c>
      <c r="E36" s="51">
        <f>VLOOKUP(A36,Insumos,4)</f>
        <v>58.06</v>
      </c>
      <c r="F36" s="69">
        <f>(D36*E36)</f>
        <v>116.12</v>
      </c>
    </row>
    <row r="37" spans="1:6" ht="12.75">
      <c r="A37" s="82" t="s">
        <v>352</v>
      </c>
      <c r="D37" s="51"/>
      <c r="E37" s="51"/>
      <c r="F37" s="69"/>
    </row>
    <row r="38" spans="1:6" ht="12.75">
      <c r="A38" s="3" t="s">
        <v>1637</v>
      </c>
      <c r="B38" s="4" t="str">
        <f>VLOOKUP(A38,Insumos,2)</f>
        <v>canasta 1 (camión volcador)</v>
      </c>
      <c r="C38" s="6" t="str">
        <f>VLOOKUP(A38,Insumos,3)</f>
        <v>h</v>
      </c>
      <c r="D38" s="51">
        <v>0.008</v>
      </c>
      <c r="E38" s="51">
        <f>VLOOKUP(A38,Insumos,4)</f>
        <v>501.17</v>
      </c>
      <c r="F38" s="69">
        <f>(D38*E38)</f>
        <v>4.00936</v>
      </c>
    </row>
    <row r="39" ht="13.5" thickBot="1">
      <c r="D39" s="51"/>
    </row>
    <row r="40" spans="1:7" ht="13.5" thickTop="1">
      <c r="A40" s="75" t="s">
        <v>346</v>
      </c>
      <c r="B40" s="8" t="s">
        <v>1707</v>
      </c>
      <c r="C40" s="77" t="str">
        <f>Fecha</f>
        <v>abr-2014</v>
      </c>
      <c r="D40" s="48"/>
      <c r="E40" s="48"/>
      <c r="F40" s="67">
        <f>SUM(F42:F48)</f>
        <v>267.1511300000001</v>
      </c>
      <c r="G40" s="41"/>
    </row>
    <row r="41" spans="1:7" ht="13.5" thickBot="1">
      <c r="A41" s="7" t="s">
        <v>345</v>
      </c>
      <c r="B41" s="7" t="s">
        <v>1704</v>
      </c>
      <c r="C41" s="78" t="s">
        <v>344</v>
      </c>
      <c r="D41" s="49" t="s">
        <v>1749</v>
      </c>
      <c r="E41" s="50"/>
      <c r="F41" s="68"/>
      <c r="G41" s="42" t="s">
        <v>1937</v>
      </c>
    </row>
    <row r="42" spans="1:6" ht="13.5" thickTop="1">
      <c r="A42" s="82" t="s">
        <v>350</v>
      </c>
      <c r="D42" s="51"/>
      <c r="E42" s="51"/>
      <c r="F42" s="69"/>
    </row>
    <row r="43" spans="1:6" ht="12.75">
      <c r="A43" s="3" t="s">
        <v>177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51">
        <v>4.7</v>
      </c>
      <c r="E43" s="51">
        <f>VLOOKUP(A43,Insumos,4)</f>
        <v>19.7</v>
      </c>
      <c r="F43" s="69">
        <f>(D43*E43)</f>
        <v>92.59</v>
      </c>
    </row>
    <row r="44" spans="1:6" ht="12.75">
      <c r="A44" s="3" t="s">
        <v>79</v>
      </c>
      <c r="B44" s="4" t="str">
        <f>VLOOKUP(A44,Insumos,2)</f>
        <v>placa durlock 1.20mx2.40m  9,5mm</v>
      </c>
      <c r="C44" s="6" t="str">
        <f>VLOOKUP(A44,Insumos,3)</f>
        <v>u</v>
      </c>
      <c r="D44" s="51">
        <v>1.1</v>
      </c>
      <c r="E44" s="51">
        <f>VLOOKUP(A44,Insumos,4)</f>
        <v>74.0519</v>
      </c>
      <c r="F44" s="69">
        <f>(D44*E44)</f>
        <v>81.45709000000001</v>
      </c>
    </row>
    <row r="45" spans="1:6" ht="12.75">
      <c r="A45" s="82" t="s">
        <v>351</v>
      </c>
      <c r="D45" s="51"/>
      <c r="E45" s="51"/>
      <c r="F45" s="69"/>
    </row>
    <row r="46" spans="1:6" ht="12.75">
      <c r="A46" s="3" t="s">
        <v>1636</v>
      </c>
      <c r="B46" s="4" t="str">
        <f>VLOOKUP(A46,Insumos,2)</f>
        <v>cuadrilla tipo UOCRA</v>
      </c>
      <c r="C46" s="6" t="str">
        <f>VLOOKUP(A46,Insumos,3)</f>
        <v>h</v>
      </c>
      <c r="D46" s="51">
        <v>1.5</v>
      </c>
      <c r="E46" s="51">
        <f>VLOOKUP(A46,Insumos,4)</f>
        <v>58.06</v>
      </c>
      <c r="F46" s="69">
        <f>(D46*E46)</f>
        <v>87.09</v>
      </c>
    </row>
    <row r="47" spans="1:6" ht="12.75">
      <c r="A47" s="82" t="s">
        <v>352</v>
      </c>
      <c r="D47" s="51"/>
      <c r="E47" s="51"/>
      <c r="F47" s="69"/>
    </row>
    <row r="48" spans="1:6" ht="12.75">
      <c r="A48" s="3" t="s">
        <v>1637</v>
      </c>
      <c r="B48" s="4" t="str">
        <f>VLOOKUP(A48,Insumos,2)</f>
        <v>canasta 1 (camión volcador)</v>
      </c>
      <c r="C48" s="6" t="str">
        <f>VLOOKUP(A48,Insumos,3)</f>
        <v>h</v>
      </c>
      <c r="D48" s="51">
        <v>0.012</v>
      </c>
      <c r="E48" s="51">
        <f>VLOOKUP(A48,Insumos,4)</f>
        <v>501.17</v>
      </c>
      <c r="F48" s="69">
        <f>(D48*E48)</f>
        <v>6.0140400000000005</v>
      </c>
    </row>
    <row r="49" ht="13.5" thickBot="1">
      <c r="D49" s="51"/>
    </row>
    <row r="50" spans="1:7" ht="13.5" thickTop="1">
      <c r="A50" s="75" t="s">
        <v>346</v>
      </c>
      <c r="B50" s="8" t="s">
        <v>1708</v>
      </c>
      <c r="C50" s="77" t="str">
        <f>Fecha</f>
        <v>abr-2014</v>
      </c>
      <c r="D50" s="48"/>
      <c r="E50" s="48"/>
      <c r="F50" s="67">
        <f>SUM(F52:F59)</f>
        <v>126.48521500000001</v>
      </c>
      <c r="G50" s="41"/>
    </row>
    <row r="51" spans="1:7" ht="13.5" thickBot="1">
      <c r="A51" s="7" t="s">
        <v>345</v>
      </c>
      <c r="B51" s="7" t="s">
        <v>1704</v>
      </c>
      <c r="C51" s="78" t="s">
        <v>344</v>
      </c>
      <c r="D51" s="49" t="s">
        <v>1750</v>
      </c>
      <c r="E51" s="50"/>
      <c r="F51" s="68"/>
      <c r="G51" s="42" t="s">
        <v>1937</v>
      </c>
    </row>
    <row r="52" spans="1:6" ht="13.5" thickTop="1">
      <c r="A52" s="82" t="s">
        <v>350</v>
      </c>
      <c r="D52" s="51"/>
      <c r="E52" s="51"/>
      <c r="F52" s="69"/>
    </row>
    <row r="53" spans="1:6" ht="12.75">
      <c r="A53" s="3" t="s">
        <v>1639</v>
      </c>
      <c r="B53" s="4" t="str">
        <f>VLOOKUP(A53,Insumos,2)</f>
        <v>cemento Portland</v>
      </c>
      <c r="C53" s="6" t="str">
        <f>VLOOKUP(A53,Insumos,3)</f>
        <v>kg</v>
      </c>
      <c r="D53" s="51">
        <v>6</v>
      </c>
      <c r="E53" s="51">
        <f>VLOOKUP(A53,Insumos,4)</f>
        <v>1.65</v>
      </c>
      <c r="F53" s="69">
        <f>(D53*E53)</f>
        <v>9.899999999999999</v>
      </c>
    </row>
    <row r="54" spans="1:6" ht="12.75">
      <c r="A54" s="3" t="s">
        <v>1646</v>
      </c>
      <c r="B54" s="4" t="str">
        <f>VLOOKUP(A54,Insumos,2)</f>
        <v>cal hidratada en bolsa</v>
      </c>
      <c r="C54" s="6" t="str">
        <f>VLOOKUP(A54,Insumos,3)</f>
        <v>kg</v>
      </c>
      <c r="D54" s="51">
        <v>4</v>
      </c>
      <c r="E54" s="51">
        <f>VLOOKUP(A54,Insumos,4)</f>
        <v>1.57</v>
      </c>
      <c r="F54" s="69">
        <f>(D54*E54)</f>
        <v>6.28</v>
      </c>
    </row>
    <row r="55" spans="1:6" ht="12.75">
      <c r="A55" s="3" t="s">
        <v>1641</v>
      </c>
      <c r="B55" s="4" t="str">
        <f>VLOOKUP(A55,Insumos,2)</f>
        <v>arena gruesa</v>
      </c>
      <c r="C55" s="6" t="str">
        <f>VLOOKUP(A55,Insumos,3)</f>
        <v>m3</v>
      </c>
      <c r="D55" s="51">
        <v>0.025</v>
      </c>
      <c r="E55" s="51">
        <f>VLOOKUP(A55,Insumos,4)</f>
        <v>141.805</v>
      </c>
      <c r="F55" s="69">
        <f>(D55*E55)</f>
        <v>3.5451250000000005</v>
      </c>
    </row>
    <row r="56" spans="1:6" ht="12.75">
      <c r="A56" s="82" t="s">
        <v>351</v>
      </c>
      <c r="C56" s="6"/>
      <c r="D56" s="51"/>
      <c r="E56" s="51"/>
      <c r="F56" s="69"/>
    </row>
    <row r="57" spans="1:6" ht="12.75">
      <c r="A57" s="3" t="s">
        <v>1636</v>
      </c>
      <c r="B57" s="4" t="str">
        <f>VLOOKUP(A57,Insumos,2)</f>
        <v>cuadrilla tipo UOCRA</v>
      </c>
      <c r="C57" s="6" t="str">
        <f>VLOOKUP(A57,Insumos,3)</f>
        <v>h</v>
      </c>
      <c r="D57" s="51">
        <v>1.82</v>
      </c>
      <c r="E57" s="51">
        <f>VLOOKUP(A57,Insumos,4)</f>
        <v>58.06</v>
      </c>
      <c r="F57" s="69">
        <f>(D57*E57)</f>
        <v>105.6692</v>
      </c>
    </row>
    <row r="58" spans="1:6" ht="12.75">
      <c r="A58" s="82" t="s">
        <v>352</v>
      </c>
      <c r="D58" s="51"/>
      <c r="E58" s="51"/>
      <c r="F58" s="69"/>
    </row>
    <row r="59" spans="1:6" ht="12.75">
      <c r="A59" s="3" t="s">
        <v>1642</v>
      </c>
      <c r="B59" s="4" t="str">
        <f>VLOOKUP(A59,Insumos,2)</f>
        <v>canasta 2 (mixer 5m3)</v>
      </c>
      <c r="C59" s="6" t="str">
        <f>VLOOKUP(A59,Insumos,3)</f>
        <v>h</v>
      </c>
      <c r="D59" s="51">
        <v>0.0015</v>
      </c>
      <c r="E59" s="51">
        <f>VLOOKUP(A59,Insumos,4)</f>
        <v>727.26</v>
      </c>
      <c r="F59" s="69">
        <f>(D59*E59)</f>
        <v>1.09089</v>
      </c>
    </row>
    <row r="60" ht="13.5" thickBot="1">
      <c r="D60" s="51"/>
    </row>
    <row r="61" spans="1:7" ht="13.5" thickTop="1">
      <c r="A61" s="75" t="s">
        <v>346</v>
      </c>
      <c r="B61" s="8" t="s">
        <v>197</v>
      </c>
      <c r="C61" s="77" t="str">
        <f>Fecha</f>
        <v>abr-2014</v>
      </c>
      <c r="D61" s="48"/>
      <c r="E61" s="48"/>
      <c r="F61" s="67">
        <f>SUM(F63:F68)</f>
        <v>178.61937200000003</v>
      </c>
      <c r="G61" s="41"/>
    </row>
    <row r="62" spans="1:7" ht="13.5" thickBot="1">
      <c r="A62" s="7" t="s">
        <v>345</v>
      </c>
      <c r="B62" s="7" t="s">
        <v>1704</v>
      </c>
      <c r="C62" s="78" t="s">
        <v>344</v>
      </c>
      <c r="D62" s="49" t="s">
        <v>1751</v>
      </c>
      <c r="E62" s="50"/>
      <c r="F62" s="68"/>
      <c r="G62" s="42" t="s">
        <v>1937</v>
      </c>
    </row>
    <row r="63" spans="1:6" ht="13.5" thickTop="1">
      <c r="A63" s="82" t="s">
        <v>350</v>
      </c>
      <c r="D63" s="51"/>
      <c r="E63" s="51"/>
      <c r="F63" s="69"/>
    </row>
    <row r="64" spans="1:6" ht="12.75">
      <c r="A64" s="3" t="s">
        <v>1650</v>
      </c>
      <c r="B64" s="4" t="str">
        <f>VLOOKUP(A64,Insumos,2)</f>
        <v>yeso blanco</v>
      </c>
      <c r="C64" s="6" t="str">
        <f>VLOOKUP(A64,Insumos,3)</f>
        <v>kg</v>
      </c>
      <c r="D64" s="51">
        <v>18</v>
      </c>
      <c r="E64" s="51">
        <f>VLOOKUP(A64,Insumos,4)</f>
        <v>3.3833</v>
      </c>
      <c r="F64" s="69">
        <f>(D64*E64)</f>
        <v>60.8994</v>
      </c>
    </row>
    <row r="65" spans="1:6" ht="12.75">
      <c r="A65" s="82" t="s">
        <v>351</v>
      </c>
      <c r="C65" s="6"/>
      <c r="D65" s="51"/>
      <c r="E65" s="51"/>
      <c r="F65" s="69"/>
    </row>
    <row r="66" spans="1:6" ht="12.75">
      <c r="A66" s="3" t="s">
        <v>1636</v>
      </c>
      <c r="B66" s="4" t="str">
        <f>VLOOKUP(A66,Insumos,2)</f>
        <v>cuadrilla tipo UOCRA</v>
      </c>
      <c r="C66" s="6" t="str">
        <f>VLOOKUP(A66,Insumos,3)</f>
        <v>h</v>
      </c>
      <c r="D66" s="51">
        <v>2</v>
      </c>
      <c r="E66" s="51">
        <f>VLOOKUP(A66,Insumos,4)</f>
        <v>58.06</v>
      </c>
      <c r="F66" s="69">
        <f>(D66*E66)</f>
        <v>116.12</v>
      </c>
    </row>
    <row r="67" spans="1:6" ht="12.75">
      <c r="A67" s="82" t="s">
        <v>352</v>
      </c>
      <c r="D67" s="51"/>
      <c r="E67" s="51"/>
      <c r="F67" s="69"/>
    </row>
    <row r="68" spans="1:6" ht="12.75">
      <c r="A68" s="3" t="s">
        <v>1642</v>
      </c>
      <c r="B68" s="4" t="str">
        <f>VLOOKUP(A68,Insumos,2)</f>
        <v>canasta 2 (mixer 5m3)</v>
      </c>
      <c r="C68" s="6" t="str">
        <f>VLOOKUP(A68,Insumos,3)</f>
        <v>h</v>
      </c>
      <c r="D68" s="51">
        <v>0.0022</v>
      </c>
      <c r="E68" s="51">
        <f>VLOOKUP(A68,Insumos,4)</f>
        <v>727.26</v>
      </c>
      <c r="F68" s="69">
        <f>(D68*E68)</f>
        <v>1.5999720000000002</v>
      </c>
    </row>
    <row r="69" ht="13.5" thickBot="1"/>
    <row r="70" spans="1:7" ht="13.5" thickTop="1">
      <c r="A70" s="75" t="s">
        <v>346</v>
      </c>
      <c r="B70" s="8" t="s">
        <v>1707</v>
      </c>
      <c r="C70" s="77" t="str">
        <f>Fecha</f>
        <v>abr-2014</v>
      </c>
      <c r="D70" s="48"/>
      <c r="E70" s="48"/>
      <c r="F70" s="67">
        <f>SUM(F72:F78)</f>
        <v>221.97204</v>
      </c>
      <c r="G70" s="41"/>
    </row>
    <row r="71" spans="1:7" ht="13.5" thickBot="1">
      <c r="A71" s="7" t="s">
        <v>345</v>
      </c>
      <c r="B71" s="7" t="s">
        <v>1704</v>
      </c>
      <c r="C71" s="78" t="s">
        <v>344</v>
      </c>
      <c r="D71" s="49" t="s">
        <v>392</v>
      </c>
      <c r="E71" s="50"/>
      <c r="F71" s="68"/>
      <c r="G71" s="42" t="s">
        <v>1937</v>
      </c>
    </row>
    <row r="72" spans="1:6" ht="13.5" thickTop="1">
      <c r="A72" s="82" t="s">
        <v>350</v>
      </c>
      <c r="D72" s="51"/>
      <c r="E72" s="51"/>
      <c r="F72" s="69"/>
    </row>
    <row r="73" spans="1:6" ht="12.75">
      <c r="A73" s="3" t="s">
        <v>177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51">
        <v>4.7</v>
      </c>
      <c r="E73" s="51">
        <f>VLOOKUP(A73,Insumos,4)</f>
        <v>19.7</v>
      </c>
      <c r="F73" s="69">
        <f>(D73*E73)</f>
        <v>92.59</v>
      </c>
    </row>
    <row r="74" spans="1:6" ht="12.75">
      <c r="A74" s="3" t="s">
        <v>393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51">
        <v>1.1</v>
      </c>
      <c r="E74" s="51">
        <f>VLOOKUP(A74,Insumos,4)</f>
        <v>32.98</v>
      </c>
      <c r="F74" s="69">
        <f>(D74*E74)</f>
        <v>36.278</v>
      </c>
    </row>
    <row r="75" spans="1:6" ht="12.75">
      <c r="A75" s="82" t="s">
        <v>351</v>
      </c>
      <c r="D75" s="51"/>
      <c r="E75" s="51"/>
      <c r="F75" s="69"/>
    </row>
    <row r="76" spans="1:6" ht="12.75">
      <c r="A76" s="3" t="s">
        <v>1636</v>
      </c>
      <c r="B76" s="4" t="str">
        <f>VLOOKUP(A76,Insumos,2)</f>
        <v>cuadrilla tipo UOCRA</v>
      </c>
      <c r="C76" s="6" t="str">
        <f>VLOOKUP(A76,Insumos,3)</f>
        <v>h</v>
      </c>
      <c r="D76" s="51">
        <v>1.5</v>
      </c>
      <c r="E76" s="51">
        <f>VLOOKUP(A76,Insumos,4)</f>
        <v>58.06</v>
      </c>
      <c r="F76" s="69">
        <f>(D76*E76)</f>
        <v>87.09</v>
      </c>
    </row>
    <row r="77" spans="1:6" ht="12.75">
      <c r="A77" s="82" t="s">
        <v>352</v>
      </c>
      <c r="D77" s="51"/>
      <c r="E77" s="51"/>
      <c r="F77" s="69"/>
    </row>
    <row r="78" spans="1:6" ht="12.75">
      <c r="A78" s="3" t="s">
        <v>1637</v>
      </c>
      <c r="B78" s="4" t="str">
        <f>VLOOKUP(A78,Insumos,2)</f>
        <v>canasta 1 (camión volcador)</v>
      </c>
      <c r="C78" s="6" t="str">
        <f>VLOOKUP(A78,Insumos,3)</f>
        <v>h</v>
      </c>
      <c r="D78" s="51">
        <v>0.012</v>
      </c>
      <c r="E78" s="51">
        <f>VLOOKUP(A78,Insumos,4)</f>
        <v>501.17</v>
      </c>
      <c r="F78" s="69">
        <f>(D78*E78)</f>
        <v>6.0140400000000005</v>
      </c>
    </row>
  </sheetData>
  <sheetProtection password="C6AE" sheet="1" objects="1" scenarios="1"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2:G20"/>
  <sheetViews>
    <sheetView showGridLines="0" zoomScale="90" zoomScaleNormal="90" zoomScaleSheetLayoutView="75" zoomScalePageLayoutView="0" workbookViewId="0" topLeftCell="A1">
      <selection activeCell="A17" sqref="A1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221" t="s">
        <v>1709</v>
      </c>
      <c r="C2" s="77" t="str">
        <f>Fecha</f>
        <v>abr-2014</v>
      </c>
      <c r="D2" s="48"/>
      <c r="E2" s="48"/>
      <c r="F2" s="222">
        <f>SUM(F4:F9)</f>
        <v>33.32526</v>
      </c>
      <c r="G2" s="41"/>
    </row>
    <row r="3" spans="1:7" ht="13.5" thickBot="1">
      <c r="A3" s="7" t="s">
        <v>345</v>
      </c>
      <c r="B3" s="7" t="s">
        <v>1710</v>
      </c>
      <c r="C3" s="78" t="s">
        <v>344</v>
      </c>
      <c r="D3" s="49" t="s">
        <v>180</v>
      </c>
      <c r="E3" s="50"/>
      <c r="F3" s="68"/>
      <c r="G3" s="42" t="s">
        <v>1937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1661</v>
      </c>
      <c r="B5" s="4" t="str">
        <f>VLOOKUP(A5,Insumos,2)</f>
        <v>salpicado plástico blanco tipo Igam</v>
      </c>
      <c r="C5" s="6" t="str">
        <f>VLOOKUP(A5,Insumos,3)</f>
        <v>kg</v>
      </c>
      <c r="D5" s="51">
        <v>2</v>
      </c>
      <c r="E5" s="51">
        <f>VLOOKUP(A5,'IN-04-14'!A6:D880,4)</f>
        <v>7.59</v>
      </c>
      <c r="F5" s="69">
        <f>(D5*E5)</f>
        <v>15.18</v>
      </c>
    </row>
    <row r="6" spans="1:6" ht="12.75">
      <c r="A6" s="82" t="s">
        <v>351</v>
      </c>
      <c r="D6" s="51"/>
      <c r="E6" s="51"/>
      <c r="F6" s="69"/>
    </row>
    <row r="7" spans="1:6" ht="12.75">
      <c r="A7" s="3" t="s">
        <v>1636</v>
      </c>
      <c r="B7" s="4" t="str">
        <f>VLOOKUP(A7,Insumos,2)</f>
        <v>cuadrilla tipo UOCRA</v>
      </c>
      <c r="C7" s="6" t="str">
        <f>VLOOKUP(A7,Insumos,3)</f>
        <v>h</v>
      </c>
      <c r="D7" s="51">
        <v>0.3</v>
      </c>
      <c r="E7" s="51">
        <f>VLOOKUP(A7,'IN-04-14'!A8:D882,4)</f>
        <v>58.06</v>
      </c>
      <c r="F7" s="69">
        <f>(D7*E7)</f>
        <v>17.418</v>
      </c>
    </row>
    <row r="8" spans="1:6" ht="12.75">
      <c r="A8" s="82" t="s">
        <v>352</v>
      </c>
      <c r="D8" s="51"/>
      <c r="E8" s="51"/>
      <c r="F8" s="69"/>
    </row>
    <row r="9" spans="1:6" ht="12.75">
      <c r="A9" s="3" t="s">
        <v>1642</v>
      </c>
      <c r="B9" s="4" t="str">
        <f>VLOOKUP(A9,Insumos,2)</f>
        <v>canasta 2 (mixer 5m3)</v>
      </c>
      <c r="C9" s="6" t="str">
        <f>VLOOKUP(A9,Insumos,3)</f>
        <v>h</v>
      </c>
      <c r="D9" s="51">
        <v>0.001</v>
      </c>
      <c r="E9" s="51">
        <f>VLOOKUP(A9,'IN-04-14'!A10:D884,4)</f>
        <v>727.26</v>
      </c>
      <c r="F9" s="69">
        <f>(D9*E9)</f>
        <v>0.72726</v>
      </c>
    </row>
    <row r="10" ht="13.5" thickBot="1">
      <c r="C10" s="78"/>
    </row>
    <row r="11" spans="1:7" ht="13.5" thickTop="1">
      <c r="A11" s="75" t="s">
        <v>346</v>
      </c>
      <c r="B11" s="221" t="s">
        <v>1711</v>
      </c>
      <c r="C11" s="77" t="str">
        <f>Fecha</f>
        <v>abr-2014</v>
      </c>
      <c r="D11" s="48"/>
      <c r="E11" s="48"/>
      <c r="F11" s="222">
        <f>SUM(F13:F20)</f>
        <v>154.06815</v>
      </c>
      <c r="G11" s="41"/>
    </row>
    <row r="12" spans="1:7" ht="13.5" thickBot="1">
      <c r="A12" s="7" t="s">
        <v>345</v>
      </c>
      <c r="B12" s="7" t="s">
        <v>1710</v>
      </c>
      <c r="C12" s="78" t="s">
        <v>344</v>
      </c>
      <c r="D12" s="49" t="s">
        <v>1752</v>
      </c>
      <c r="E12" s="50"/>
      <c r="F12" s="68"/>
      <c r="G12" s="42" t="s">
        <v>1937</v>
      </c>
    </row>
    <row r="13" spans="1:6" ht="13.5" thickTop="1">
      <c r="A13" s="82" t="s">
        <v>350</v>
      </c>
      <c r="D13" s="51"/>
      <c r="E13" s="51"/>
      <c r="F13" s="69"/>
    </row>
    <row r="14" spans="1:6" ht="12.75">
      <c r="A14" s="3" t="s">
        <v>1768</v>
      </c>
      <c r="B14" s="4" t="str">
        <f>VLOOKUP(A14,Insumos,2)</f>
        <v>cemento blanco</v>
      </c>
      <c r="C14" s="6" t="str">
        <f>VLOOKUP(A14,Insumos,3)</f>
        <v>bolsa</v>
      </c>
      <c r="D14" s="51">
        <v>0.01</v>
      </c>
      <c r="E14" s="51">
        <f>VLOOKUP(A14,'IN-04-14'!A15:D889,4)</f>
        <v>74.25</v>
      </c>
      <c r="F14" s="69">
        <f>(D14*E14)</f>
        <v>0.7425</v>
      </c>
    </row>
    <row r="15" spans="1:6" ht="12.75">
      <c r="A15" s="3" t="s">
        <v>1653</v>
      </c>
      <c r="B15" s="4" t="str">
        <f>VLOOKUP(A15,Insumos,2)</f>
        <v>adhesivo p/piso cerámico</v>
      </c>
      <c r="C15" s="6" t="str">
        <f>VLOOKUP(A15,Insumos,3)</f>
        <v>kg</v>
      </c>
      <c r="D15" s="51">
        <v>3.5</v>
      </c>
      <c r="E15" s="51">
        <f>VLOOKUP(A15,'IN-04-14'!A16:D890,4)</f>
        <v>2.1</v>
      </c>
      <c r="F15" s="69">
        <f>(D15*E15)</f>
        <v>7.3500000000000005</v>
      </c>
    </row>
    <row r="16" spans="1:6" ht="12.75">
      <c r="A16" s="232" t="s">
        <v>534</v>
      </c>
      <c r="B16" s="4" t="str">
        <f>VLOOKUP(A16,Insumos,2)</f>
        <v>azulejo 15x15 blanco</v>
      </c>
      <c r="C16" s="6" t="str">
        <f>VLOOKUP(A16,Insumos,3)</f>
        <v>m2</v>
      </c>
      <c r="D16" s="51">
        <v>1.05</v>
      </c>
      <c r="E16" s="51">
        <f>VLOOKUP(A16,'IN-04-14'!A17:D891,4)</f>
        <v>54.35</v>
      </c>
      <c r="F16" s="69">
        <f>(D16*E16)</f>
        <v>57.0675</v>
      </c>
    </row>
    <row r="17" spans="1:6" ht="12.75">
      <c r="A17" s="82" t="s">
        <v>351</v>
      </c>
      <c r="D17" s="51"/>
      <c r="E17" s="51"/>
      <c r="F17" s="69"/>
    </row>
    <row r="18" spans="1:6" ht="12.75">
      <c r="A18" s="3" t="s">
        <v>1636</v>
      </c>
      <c r="B18" s="4" t="str">
        <f>VLOOKUP(A18,Insumos,2)</f>
        <v>cuadrilla tipo UOCRA</v>
      </c>
      <c r="C18" s="6" t="str">
        <f>VLOOKUP(A18,Insumos,3)</f>
        <v>h</v>
      </c>
      <c r="D18" s="51">
        <v>1.5</v>
      </c>
      <c r="E18" s="51">
        <f>VLOOKUP(A18,'IN-04-14'!A19:D893,4)</f>
        <v>58.06</v>
      </c>
      <c r="F18" s="69">
        <f>(D18*E18)</f>
        <v>87.09</v>
      </c>
    </row>
    <row r="19" spans="1:6" ht="12.75">
      <c r="A19" s="82" t="s">
        <v>352</v>
      </c>
      <c r="D19" s="51"/>
      <c r="E19" s="51"/>
      <c r="F19" s="69"/>
    </row>
    <row r="20" spans="1:6" ht="12.75">
      <c r="A20" s="3" t="s">
        <v>1642</v>
      </c>
      <c r="B20" s="4" t="str">
        <f>VLOOKUP(A20,Insumos,2)</f>
        <v>canasta 2 (mixer 5m3)</v>
      </c>
      <c r="C20" s="6" t="str">
        <f>VLOOKUP(A20,Insumos,3)</f>
        <v>h</v>
      </c>
      <c r="D20" s="51">
        <v>0.0025</v>
      </c>
      <c r="E20" s="51">
        <f>VLOOKUP(A20,'IN-04-14'!A21:D895,4)</f>
        <v>727.26</v>
      </c>
      <c r="F20" s="69">
        <f>(D20*E20)</f>
        <v>1.81815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2"/>
  </sheetPr>
  <dimension ref="A2:G64"/>
  <sheetViews>
    <sheetView showGridLines="0" zoomScale="90" zoomScaleNormal="90" zoomScaleSheetLayoutView="75" zoomScalePageLayoutView="0" workbookViewId="0" topLeftCell="A19">
      <selection activeCell="E69" sqref="E6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221" t="s">
        <v>1712</v>
      </c>
      <c r="C2" s="77" t="str">
        <f>Fecha</f>
        <v>abr-2014</v>
      </c>
      <c r="D2" s="48"/>
      <c r="E2" s="48"/>
      <c r="F2" s="222">
        <f>SUM(F4:F12)</f>
        <v>13393.03572</v>
      </c>
      <c r="G2" s="41"/>
    </row>
    <row r="3" spans="1:7" ht="13.5" thickBot="1">
      <c r="A3" s="7" t="s">
        <v>345</v>
      </c>
      <c r="B3" s="7" t="s">
        <v>1713</v>
      </c>
      <c r="C3" s="78" t="s">
        <v>344</v>
      </c>
      <c r="D3" s="49" t="s">
        <v>1753</v>
      </c>
      <c r="E3" s="50"/>
      <c r="F3" s="68"/>
      <c r="G3" s="42" t="s">
        <v>347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1662</v>
      </c>
      <c r="B5" s="4" t="str">
        <f>VLOOKUP(A5,Insumos,2)</f>
        <v>puerta tablero 0.90 x 2.00 cedro</v>
      </c>
      <c r="C5" s="6" t="str">
        <f>VLOOKUP(A5,Insumos,3)</f>
        <v>u</v>
      </c>
      <c r="D5" s="51">
        <v>1</v>
      </c>
      <c r="E5" s="51">
        <f>VLOOKUP(A5,'IN-04-14'!A6:D880,4)</f>
        <v>2312.44</v>
      </c>
      <c r="F5" s="69">
        <f>(D5*E5)</f>
        <v>2312.44</v>
      </c>
    </row>
    <row r="6" spans="1:6" ht="12.75">
      <c r="A6" s="3" t="s">
        <v>1663</v>
      </c>
      <c r="B6" s="4" t="str">
        <f>VLOOKUP(A6,Insumos,2)</f>
        <v>puerta placa 0,70 x 2,00</v>
      </c>
      <c r="C6" s="6" t="str">
        <f>VLOOKUP(A6,Insumos,3)</f>
        <v>u</v>
      </c>
      <c r="D6" s="51">
        <v>4</v>
      </c>
      <c r="E6" s="51">
        <f>VLOOKUP(A6,'IN-04-14'!A7:D881,4)</f>
        <v>635.31</v>
      </c>
      <c r="F6" s="69">
        <f>(D6*E6)</f>
        <v>2541.24</v>
      </c>
    </row>
    <row r="7" spans="1:6" ht="12.75">
      <c r="A7" s="3" t="s">
        <v>1364</v>
      </c>
      <c r="B7" s="4" t="str">
        <f>VLOOKUP(A7,Insumos,2)</f>
        <v>ventana 2 H. abrir c/mco.met. 1,20x1,10</v>
      </c>
      <c r="C7" s="6" t="str">
        <f>VLOOKUP(A7,Insumos,3)</f>
        <v>u</v>
      </c>
      <c r="D7" s="51">
        <v>6.5</v>
      </c>
      <c r="E7" s="51">
        <f>VLOOKUP(A7,'IN-04-14'!A8:D882,4)</f>
        <v>871.59</v>
      </c>
      <c r="F7" s="69">
        <f>(D7*E7)</f>
        <v>5665.335</v>
      </c>
    </row>
    <row r="8" spans="1:6" ht="12.75">
      <c r="A8" s="3" t="s">
        <v>52</v>
      </c>
      <c r="B8" s="4" t="str">
        <f>VLOOKUP(A8,Insumos,2)</f>
        <v>cerradura de seguridad </v>
      </c>
      <c r="C8" s="6" t="str">
        <f>VLOOKUP(A8,Insumos,3)</f>
        <v>u</v>
      </c>
      <c r="D8" s="51">
        <v>3.798</v>
      </c>
      <c r="E8" s="51">
        <f>VLOOKUP(A8,'IN-04-14'!A9:D883,4)</f>
        <v>96.64</v>
      </c>
      <c r="F8" s="69">
        <f>(D8*E8)</f>
        <v>367.03872</v>
      </c>
    </row>
    <row r="9" spans="1:6" ht="12.75">
      <c r="A9" s="82" t="s">
        <v>351</v>
      </c>
      <c r="D9" s="51"/>
      <c r="E9" s="51"/>
      <c r="F9" s="69"/>
    </row>
    <row r="10" spans="1:6" ht="12.75">
      <c r="A10" s="3" t="s">
        <v>1636</v>
      </c>
      <c r="B10" s="4" t="str">
        <f>VLOOKUP(A10,Insumos,2)</f>
        <v>cuadrilla tipo UOCRA</v>
      </c>
      <c r="C10" s="6" t="str">
        <f>VLOOKUP(A10,Insumos,3)</f>
        <v>h</v>
      </c>
      <c r="D10" s="51">
        <v>38</v>
      </c>
      <c r="E10" s="51">
        <f>VLOOKUP(A10,'IN-04-14'!A11:D885,4)</f>
        <v>58.06</v>
      </c>
      <c r="F10" s="69">
        <f>(D10*E10)</f>
        <v>2206.28</v>
      </c>
    </row>
    <row r="11" spans="1:6" ht="12.75">
      <c r="A11" s="82" t="s">
        <v>352</v>
      </c>
      <c r="D11" s="51"/>
      <c r="E11" s="51"/>
      <c r="F11" s="69"/>
    </row>
    <row r="12" spans="1:6" ht="12.75">
      <c r="A12" s="3" t="s">
        <v>1637</v>
      </c>
      <c r="B12" s="4" t="str">
        <f>VLOOKUP(A12,Insumos,2)</f>
        <v>canasta 1 (camión volcador)</v>
      </c>
      <c r="C12" s="6" t="str">
        <f>VLOOKUP(A12,Insumos,3)</f>
        <v>h</v>
      </c>
      <c r="D12" s="51">
        <v>0.6</v>
      </c>
      <c r="E12" s="51">
        <f>VLOOKUP(A12,'IN-04-14'!A13:D887,4)</f>
        <v>501.17</v>
      </c>
      <c r="F12" s="69">
        <f>(D12*E12)</f>
        <v>300.702</v>
      </c>
    </row>
    <row r="13" spans="1:6" ht="12.75">
      <c r="A13" s="3"/>
      <c r="B13" s="4"/>
      <c r="C13" s="6"/>
      <c r="D13" s="51"/>
      <c r="E13" s="51"/>
      <c r="F13" s="69"/>
    </row>
    <row r="14" ht="13.5" thickBot="1"/>
    <row r="15" spans="1:7" ht="13.5" thickTop="1">
      <c r="A15" s="75" t="s">
        <v>346</v>
      </c>
      <c r="B15" s="221" t="s">
        <v>1817</v>
      </c>
      <c r="C15" s="77" t="str">
        <f>Fecha</f>
        <v>abr-2014</v>
      </c>
      <c r="D15" s="48"/>
      <c r="E15" s="48"/>
      <c r="F15" s="222">
        <f>SUM(F17:F22)</f>
        <v>7233.2570000000005</v>
      </c>
      <c r="G15" s="41"/>
    </row>
    <row r="16" spans="1:7" ht="13.5" thickBot="1">
      <c r="A16" s="7" t="s">
        <v>345</v>
      </c>
      <c r="B16" s="7" t="s">
        <v>1713</v>
      </c>
      <c r="C16" s="78" t="s">
        <v>344</v>
      </c>
      <c r="D16" s="49" t="s">
        <v>1818</v>
      </c>
      <c r="E16" s="50"/>
      <c r="F16" s="68"/>
      <c r="G16" s="42" t="s">
        <v>347</v>
      </c>
    </row>
    <row r="17" spans="1:6" ht="13.5" thickTop="1">
      <c r="A17" s="82" t="s">
        <v>350</v>
      </c>
      <c r="D17" s="51"/>
      <c r="E17" s="51"/>
      <c r="F17" s="69"/>
    </row>
    <row r="18" spans="1:6" ht="12.75">
      <c r="A18" s="3" t="s">
        <v>1364</v>
      </c>
      <c r="B18" s="4" t="str">
        <f>VLOOKUP(A18,Insumos,2)</f>
        <v>ventana 2 H. abrir c/mco.met. 1,20x1,10</v>
      </c>
      <c r="C18" s="6" t="str">
        <f>VLOOKUP(A18,Insumos,3)</f>
        <v>u</v>
      </c>
      <c r="D18" s="51">
        <v>6.5</v>
      </c>
      <c r="E18" s="51">
        <f>VLOOKUP(A18,'IN-04-14'!A19:D893,4)</f>
        <v>871.59</v>
      </c>
      <c r="F18" s="69">
        <f>(D18*E18)</f>
        <v>5665.335</v>
      </c>
    </row>
    <row r="19" spans="1:6" ht="12.75">
      <c r="A19" s="82" t="s">
        <v>351</v>
      </c>
      <c r="D19" s="51"/>
      <c r="E19" s="51"/>
      <c r="F19" s="69"/>
    </row>
    <row r="20" spans="1:6" ht="12.75">
      <c r="A20" s="3" t="s">
        <v>1636</v>
      </c>
      <c r="B20" s="4" t="str">
        <f>VLOOKUP(A20,Insumos,2)</f>
        <v>cuadrilla tipo UOCRA</v>
      </c>
      <c r="C20" s="6" t="str">
        <f>VLOOKUP(A20,Insumos,3)</f>
        <v>h</v>
      </c>
      <c r="D20" s="51">
        <v>24.5</v>
      </c>
      <c r="E20" s="51">
        <f>VLOOKUP(A20,'IN-04-14'!A21:D895,4)</f>
        <v>58.06</v>
      </c>
      <c r="F20" s="69">
        <f>(D20*E20)</f>
        <v>1422.47</v>
      </c>
    </row>
    <row r="21" spans="1:6" ht="12.75">
      <c r="A21" s="82" t="s">
        <v>352</v>
      </c>
      <c r="D21" s="51"/>
      <c r="E21" s="51"/>
      <c r="F21" s="69"/>
    </row>
    <row r="22" spans="1:6" ht="12.75">
      <c r="A22" s="3" t="s">
        <v>1642</v>
      </c>
      <c r="B22" s="4" t="str">
        <f>VLOOKUP(A22,Insumos,2)</f>
        <v>canasta 2 (mixer 5m3)</v>
      </c>
      <c r="C22" s="6" t="str">
        <f>VLOOKUP(A22,Insumos,3)</f>
        <v>h</v>
      </c>
      <c r="D22" s="51">
        <v>0.2</v>
      </c>
      <c r="E22" s="51">
        <f>VLOOKUP(A22,'IN-04-14'!A23:D897,4)</f>
        <v>727.26</v>
      </c>
      <c r="F22" s="69">
        <f>(D22*E22)</f>
        <v>145.452</v>
      </c>
    </row>
    <row r="23" ht="13.5" thickBot="1"/>
    <row r="24" spans="1:7" ht="13.5" thickTop="1">
      <c r="A24" s="75" t="s">
        <v>346</v>
      </c>
      <c r="B24" s="221" t="s">
        <v>1819</v>
      </c>
      <c r="C24" s="77" t="str">
        <f>Fecha</f>
        <v>abr-2014</v>
      </c>
      <c r="D24" s="48"/>
      <c r="E24" s="48"/>
      <c r="F24" s="222">
        <f>SUM(F26:F33)</f>
        <v>6040.2662</v>
      </c>
      <c r="G24" s="41"/>
    </row>
    <row r="25" spans="1:7" ht="13.5" thickBot="1">
      <c r="A25" s="7" t="s">
        <v>345</v>
      </c>
      <c r="B25" s="7" t="s">
        <v>1713</v>
      </c>
      <c r="C25" s="78" t="s">
        <v>344</v>
      </c>
      <c r="D25" s="49" t="s">
        <v>1820</v>
      </c>
      <c r="E25" s="50"/>
      <c r="F25" s="68"/>
      <c r="G25" s="42" t="s">
        <v>347</v>
      </c>
    </row>
    <row r="26" spans="1:6" ht="13.5" thickTop="1">
      <c r="A26" s="82" t="s">
        <v>350</v>
      </c>
      <c r="D26" s="51"/>
      <c r="E26" s="51"/>
      <c r="F26" s="69"/>
    </row>
    <row r="27" spans="1:6" ht="12.75">
      <c r="A27" s="3" t="s">
        <v>52</v>
      </c>
      <c r="B27" s="4" t="str">
        <f>VLOOKUP(A27,Insumos,2)</f>
        <v>cerradura de seguridad </v>
      </c>
      <c r="C27" s="6" t="str">
        <f>VLOOKUP(A27,Insumos,3)</f>
        <v>u</v>
      </c>
      <c r="D27" s="51">
        <v>3.34</v>
      </c>
      <c r="E27" s="51">
        <f>VLOOKUP(A27,'IN-04-14'!A28:D902,4)</f>
        <v>96.64</v>
      </c>
      <c r="F27" s="69">
        <f>(D27*E27)</f>
        <v>322.7776</v>
      </c>
    </row>
    <row r="28" spans="1:6" ht="12.75">
      <c r="A28" s="3" t="s">
        <v>1662</v>
      </c>
      <c r="B28" s="4" t="str">
        <f>VLOOKUP(A28,Insumos,2)</f>
        <v>puerta tablero 0.90 x 2.00 cedro</v>
      </c>
      <c r="C28" s="6" t="str">
        <f>VLOOKUP(A28,Insumos,3)</f>
        <v>u</v>
      </c>
      <c r="D28" s="51">
        <v>1</v>
      </c>
      <c r="E28" s="51">
        <f>VLOOKUP(A28,'IN-04-14'!A29:D903,4)</f>
        <v>2312.44</v>
      </c>
      <c r="F28" s="69">
        <f>(D28*E28)</f>
        <v>2312.44</v>
      </c>
    </row>
    <row r="29" spans="1:6" ht="12.75">
      <c r="A29" s="3" t="s">
        <v>1663</v>
      </c>
      <c r="B29" s="4" t="str">
        <f>VLOOKUP(A29,Insumos,2)</f>
        <v>puerta placa 0,70 x 2,00</v>
      </c>
      <c r="C29" s="6" t="str">
        <f>VLOOKUP(A29,Insumos,3)</f>
        <v>u</v>
      </c>
      <c r="D29" s="51">
        <v>4</v>
      </c>
      <c r="E29" s="51">
        <f>VLOOKUP(A29,'IN-04-14'!A30:D904,4)</f>
        <v>635.31</v>
      </c>
      <c r="F29" s="69">
        <f>(D29*E29)</f>
        <v>2541.24</v>
      </c>
    </row>
    <row r="30" spans="1:6" ht="12.75">
      <c r="A30" s="82" t="s">
        <v>351</v>
      </c>
      <c r="D30" s="51"/>
      <c r="E30" s="51"/>
      <c r="F30" s="69"/>
    </row>
    <row r="31" spans="1:6" ht="12.75">
      <c r="A31" s="3" t="s">
        <v>1636</v>
      </c>
      <c r="B31" s="4" t="str">
        <f>VLOOKUP(A31,Insumos,2)</f>
        <v>cuadrilla tipo UOCRA</v>
      </c>
      <c r="C31" s="6" t="str">
        <f>VLOOKUP(A31,Insumos,3)</f>
        <v>h</v>
      </c>
      <c r="D31" s="51">
        <v>13.5</v>
      </c>
      <c r="E31" s="51">
        <f>VLOOKUP(A31,'IN-04-14'!A32:D906,4)</f>
        <v>58.06</v>
      </c>
      <c r="F31" s="69">
        <f>(D31*E31)</f>
        <v>783.8100000000001</v>
      </c>
    </row>
    <row r="32" spans="1:6" ht="12.75">
      <c r="A32" s="82" t="s">
        <v>352</v>
      </c>
      <c r="D32" s="51"/>
      <c r="E32" s="51"/>
      <c r="F32" s="69"/>
    </row>
    <row r="33" spans="1:6" ht="12.75">
      <c r="A33" s="3" t="s">
        <v>1642</v>
      </c>
      <c r="B33" s="4" t="str">
        <f>VLOOKUP(A33,Insumos,2)</f>
        <v>canasta 2 (mixer 5m3)</v>
      </c>
      <c r="C33" s="6" t="str">
        <f>VLOOKUP(A33,Insumos,3)</f>
        <v>h</v>
      </c>
      <c r="D33" s="51">
        <v>0.11</v>
      </c>
      <c r="E33" s="51">
        <f>VLOOKUP(A33,'IN-04-14'!A34:D908,4)</f>
        <v>727.26</v>
      </c>
      <c r="F33" s="69">
        <f>(D33*E33)</f>
        <v>79.9986</v>
      </c>
    </row>
    <row r="34" ht="13.5" thickBot="1"/>
    <row r="35" spans="1:7" ht="13.5" thickTop="1">
      <c r="A35" s="75" t="s">
        <v>346</v>
      </c>
      <c r="B35" s="221" t="s">
        <v>338</v>
      </c>
      <c r="C35" s="77" t="str">
        <f>Fecha</f>
        <v>abr-2014</v>
      </c>
      <c r="D35" s="48"/>
      <c r="E35" s="48"/>
      <c r="F35" s="222">
        <f>SUM(F37:F45)</f>
        <v>13558.1862</v>
      </c>
      <c r="G35" s="41"/>
    </row>
    <row r="36" spans="1:7" ht="13.5" thickBot="1">
      <c r="A36" s="7" t="s">
        <v>345</v>
      </c>
      <c r="B36" s="7" t="s">
        <v>1713</v>
      </c>
      <c r="C36" s="78" t="s">
        <v>344</v>
      </c>
      <c r="D36" s="49" t="s">
        <v>337</v>
      </c>
      <c r="E36" s="50"/>
      <c r="F36" s="68"/>
      <c r="G36" s="42" t="s">
        <v>347</v>
      </c>
    </row>
    <row r="37" spans="1:6" ht="13.5" thickTop="1">
      <c r="A37" s="82" t="s">
        <v>350</v>
      </c>
      <c r="D37" s="51"/>
      <c r="E37" s="51"/>
      <c r="F37" s="69"/>
    </row>
    <row r="38" spans="1:6" ht="12.75">
      <c r="A38" s="3" t="s">
        <v>52</v>
      </c>
      <c r="B38" s="4" t="str">
        <f>VLOOKUP(A38,Insumos,2)</f>
        <v>cerradura de seguridad </v>
      </c>
      <c r="C38" s="6" t="str">
        <f>VLOOKUP(A38,Insumos,3)</f>
        <v>u</v>
      </c>
      <c r="D38" s="51">
        <v>3.34</v>
      </c>
      <c r="E38" s="51">
        <f>VLOOKUP(A38,'IN-04-14'!A39:D913,4)</f>
        <v>96.64</v>
      </c>
      <c r="F38" s="69">
        <f>(D38*E38)</f>
        <v>322.7776</v>
      </c>
    </row>
    <row r="39" spans="1:6" ht="12.75">
      <c r="A39" s="3" t="s">
        <v>1662</v>
      </c>
      <c r="B39" s="4" t="str">
        <f>VLOOKUP(A39,Insumos,2)</f>
        <v>puerta tablero 0.90 x 2.00 cedro</v>
      </c>
      <c r="C39" s="6" t="str">
        <f>VLOOKUP(A39,Insumos,3)</f>
        <v>u</v>
      </c>
      <c r="D39" s="51">
        <v>1</v>
      </c>
      <c r="E39" s="51">
        <f>VLOOKUP(A39,'IN-04-14'!A40:D914,4)</f>
        <v>2312.44</v>
      </c>
      <c r="F39" s="69">
        <f>(D39*E39)</f>
        <v>2312.44</v>
      </c>
    </row>
    <row r="40" spans="1:6" ht="12.75">
      <c r="A40" s="3" t="s">
        <v>1663</v>
      </c>
      <c r="B40" s="4" t="str">
        <f>VLOOKUP(A40,Insumos,2)</f>
        <v>puerta placa 0,70 x 2,00</v>
      </c>
      <c r="C40" s="6" t="str">
        <f>VLOOKUP(A40,Insumos,3)</f>
        <v>u</v>
      </c>
      <c r="D40" s="51">
        <v>4</v>
      </c>
      <c r="E40" s="51">
        <f>VLOOKUP(A40,'IN-04-14'!A41:D915,4)</f>
        <v>635.31</v>
      </c>
      <c r="F40" s="69">
        <f>(D40*E40)</f>
        <v>2541.24</v>
      </c>
    </row>
    <row r="41" spans="1:6" ht="12.75" hidden="1">
      <c r="A41" s="3" t="s">
        <v>51</v>
      </c>
      <c r="B41" s="4" t="str">
        <f>VLOOKUP(A41,Insumos,2)</f>
        <v>placard c/ptas. placas  incl. inter.c/ melamina</v>
      </c>
      <c r="C41" s="6" t="str">
        <f>VLOOKUP(A41,Insumos,3)</f>
        <v>u</v>
      </c>
      <c r="D41" s="51">
        <v>3</v>
      </c>
      <c r="E41" s="51">
        <f>VLOOKUP(A41,'IN-04-14'!A42:D916,4)</f>
        <v>2312.44</v>
      </c>
      <c r="F41" s="69">
        <f>(D41*E41)</f>
        <v>6937.32</v>
      </c>
    </row>
    <row r="42" spans="1:6" ht="12.75">
      <c r="A42" s="82" t="s">
        <v>351</v>
      </c>
      <c r="D42" s="51"/>
      <c r="E42" s="51"/>
      <c r="F42" s="69"/>
    </row>
    <row r="43" spans="1:6" ht="12.75">
      <c r="A43" s="3" t="s">
        <v>1636</v>
      </c>
      <c r="B43" s="4" t="str">
        <f>VLOOKUP(A43,Insumos,2)</f>
        <v>cuadrilla tipo UOCRA</v>
      </c>
      <c r="C43" s="6" t="str">
        <f>VLOOKUP(A43,Insumos,3)</f>
        <v>h</v>
      </c>
      <c r="D43" s="51">
        <f>13.5+10</f>
        <v>23.5</v>
      </c>
      <c r="E43" s="51">
        <f>VLOOKUP(A43,'IN-04-14'!A44:D918,4)</f>
        <v>58.06</v>
      </c>
      <c r="F43" s="69">
        <f>(D43*E43)</f>
        <v>1364.41</v>
      </c>
    </row>
    <row r="44" spans="1:6" ht="12.75">
      <c r="A44" s="82" t="s">
        <v>352</v>
      </c>
      <c r="D44" s="51"/>
      <c r="E44" s="51"/>
      <c r="F44" s="69"/>
    </row>
    <row r="45" spans="1:6" ht="12.75">
      <c r="A45" s="3" t="s">
        <v>1642</v>
      </c>
      <c r="B45" s="4" t="str">
        <f>VLOOKUP(A45,Insumos,2)</f>
        <v>canasta 2 (mixer 5m3)</v>
      </c>
      <c r="C45" s="6" t="str">
        <f>VLOOKUP(A45,Insumos,3)</f>
        <v>h</v>
      </c>
      <c r="D45" s="51">
        <v>0.11</v>
      </c>
      <c r="E45" s="51">
        <f>VLOOKUP(A45,'IN-04-14'!A46:D920,4)</f>
        <v>727.26</v>
      </c>
      <c r="F45" s="69">
        <f>(D45*E45)</f>
        <v>79.9986</v>
      </c>
    </row>
    <row r="46" ht="13.5" thickBot="1"/>
    <row r="47" spans="1:7" ht="13.5" thickTop="1">
      <c r="A47" s="75" t="s">
        <v>346</v>
      </c>
      <c r="B47" s="221" t="s">
        <v>353</v>
      </c>
      <c r="C47" s="77" t="str">
        <f>Fecha</f>
        <v>abr-2014</v>
      </c>
      <c r="D47" s="48"/>
      <c r="E47" s="48"/>
      <c r="F47" s="222">
        <f>SUM(F49:F54)</f>
        <v>114349.46190000001</v>
      </c>
      <c r="G47" s="41"/>
    </row>
    <row r="48" spans="1:7" ht="13.5" thickBot="1">
      <c r="A48" s="7" t="s">
        <v>345</v>
      </c>
      <c r="B48" s="7" t="s">
        <v>1713</v>
      </c>
      <c r="C48" s="78" t="s">
        <v>344</v>
      </c>
      <c r="D48" s="49" t="s">
        <v>354</v>
      </c>
      <c r="E48" s="50"/>
      <c r="F48" s="68"/>
      <c r="G48" s="42" t="s">
        <v>347</v>
      </c>
    </row>
    <row r="49" spans="1:6" ht="13.5" thickTop="1">
      <c r="A49" s="82" t="s">
        <v>350</v>
      </c>
      <c r="D49" s="51"/>
      <c r="E49" s="51"/>
      <c r="F49" s="69"/>
    </row>
    <row r="50" spans="1:6" ht="12.75">
      <c r="A50" s="3" t="s">
        <v>1364</v>
      </c>
      <c r="B50" s="4" t="str">
        <f>VLOOKUP(A50,Insumos,2)</f>
        <v>ventana 2 H. abrir c/mco.met. 1,20x1,10</v>
      </c>
      <c r="C50" s="6" t="str">
        <f>VLOOKUP(A50,Insumos,3)</f>
        <v>u</v>
      </c>
      <c r="D50" s="51">
        <v>79.41</v>
      </c>
      <c r="E50" s="51">
        <f>VLOOKUP(A50,'IN-04-14'!A51:D925,4)</f>
        <v>871.59</v>
      </c>
      <c r="F50" s="69">
        <f>(D50*E50)</f>
        <v>69212.9619</v>
      </c>
    </row>
    <row r="51" spans="1:6" ht="12.75">
      <c r="A51" s="82" t="s">
        <v>351</v>
      </c>
      <c r="D51" s="51"/>
      <c r="E51" s="51"/>
      <c r="F51" s="69"/>
    </row>
    <row r="52" spans="1:6" ht="12.75">
      <c r="A52" s="3" t="s">
        <v>1636</v>
      </c>
      <c r="B52" s="4" t="str">
        <f>VLOOKUP(A52,Insumos,2)</f>
        <v>cuadrilla tipo UOCRA</v>
      </c>
      <c r="C52" s="6" t="str">
        <f>VLOOKUP(A52,Insumos,3)</f>
        <v>h</v>
      </c>
      <c r="D52" s="51">
        <v>680.46</v>
      </c>
      <c r="E52" s="51">
        <f>VLOOKUP(A52,'IN-04-14'!A53:D927,4)</f>
        <v>58.06</v>
      </c>
      <c r="F52" s="69">
        <f>(D52*E52)</f>
        <v>39507.507600000004</v>
      </c>
    </row>
    <row r="53" spans="1:6" ht="12.75">
      <c r="A53" s="82" t="s">
        <v>352</v>
      </c>
      <c r="D53" s="51"/>
      <c r="E53" s="51"/>
      <c r="F53" s="69"/>
    </row>
    <row r="54" spans="1:6" ht="12.75">
      <c r="A54" s="3" t="s">
        <v>1642</v>
      </c>
      <c r="B54" s="4" t="str">
        <f>VLOOKUP(A54,Insumos,2)</f>
        <v>canasta 2 (mixer 5m3)</v>
      </c>
      <c r="C54" s="6" t="str">
        <f>VLOOKUP(A54,Insumos,3)</f>
        <v>h</v>
      </c>
      <c r="D54" s="51">
        <v>7.74</v>
      </c>
      <c r="E54" s="51">
        <f>VLOOKUP(A54,'IN-04-14'!A55:D929,4)</f>
        <v>727.26</v>
      </c>
      <c r="F54" s="69">
        <f>(D54*E54)</f>
        <v>5628.9924</v>
      </c>
    </row>
    <row r="55" ht="13.5" thickBot="1"/>
    <row r="56" spans="1:7" ht="13.5" thickTop="1">
      <c r="A56" s="75" t="s">
        <v>346</v>
      </c>
      <c r="B56" s="221" t="s">
        <v>356</v>
      </c>
      <c r="C56" s="77" t="str">
        <f>Fecha</f>
        <v>abr-2014</v>
      </c>
      <c r="D56" s="48"/>
      <c r="E56" s="48"/>
      <c r="F56" s="222">
        <f>SUM(F58:F64)</f>
        <v>54756.4448</v>
      </c>
      <c r="G56" s="41"/>
    </row>
    <row r="57" spans="1:7" ht="13.5" thickBot="1">
      <c r="A57" s="7" t="s">
        <v>345</v>
      </c>
      <c r="B57" s="7" t="s">
        <v>1713</v>
      </c>
      <c r="C57" s="78" t="s">
        <v>344</v>
      </c>
      <c r="D57" s="49" t="s">
        <v>355</v>
      </c>
      <c r="E57" s="50"/>
      <c r="F57" s="68"/>
      <c r="G57" s="42" t="s">
        <v>347</v>
      </c>
    </row>
    <row r="58" spans="1:6" ht="13.5" thickTop="1">
      <c r="A58" s="82" t="s">
        <v>350</v>
      </c>
      <c r="D58" s="51"/>
      <c r="E58" s="51"/>
      <c r="F58" s="69"/>
    </row>
    <row r="59" spans="1:6" ht="12.75">
      <c r="A59" s="3" t="s">
        <v>52</v>
      </c>
      <c r="B59" s="4" t="str">
        <f>VLOOKUP(A59,Insumos,2)</f>
        <v>cerradura de seguridad </v>
      </c>
      <c r="C59" s="6" t="str">
        <f>VLOOKUP(A59,Insumos,3)</f>
        <v>u</v>
      </c>
      <c r="D59" s="51">
        <v>17.32</v>
      </c>
      <c r="E59" s="51">
        <f>VLOOKUP(A59,'IN-04-14'!A58:D934,4)</f>
        <v>96.64</v>
      </c>
      <c r="F59" s="69">
        <f>(D59*E59)</f>
        <v>1673.8048000000001</v>
      </c>
    </row>
    <row r="60" spans="1:6" ht="12.75">
      <c r="A60" s="3" t="s">
        <v>1663</v>
      </c>
      <c r="B60" s="4" t="str">
        <f>VLOOKUP(A60,Insumos,2)</f>
        <v>puerta placa 0,70 x 2,00</v>
      </c>
      <c r="C60" s="6" t="str">
        <f>VLOOKUP(A60,Insumos,3)</f>
        <v>u</v>
      </c>
      <c r="D60" s="51">
        <v>65.82</v>
      </c>
      <c r="E60" s="51">
        <f>VLOOKUP(A60,'IN-04-14'!A59:D935,4)</f>
        <v>635.31</v>
      </c>
      <c r="F60" s="69">
        <f>(D60*E60)</f>
        <v>41816.104199999994</v>
      </c>
    </row>
    <row r="61" spans="1:6" ht="12.75">
      <c r="A61" s="82" t="s">
        <v>351</v>
      </c>
      <c r="D61" s="51"/>
      <c r="E61" s="51"/>
      <c r="F61" s="69"/>
    </row>
    <row r="62" spans="1:6" ht="12.75">
      <c r="A62" s="3" t="s">
        <v>1636</v>
      </c>
      <c r="B62" s="4" t="str">
        <f>VLOOKUP(A62,Insumos,2)</f>
        <v>cuadrilla tipo UOCRA</v>
      </c>
      <c r="C62" s="6" t="str">
        <f>VLOOKUP(A62,Insumos,3)</f>
        <v>h</v>
      </c>
      <c r="D62" s="51">
        <v>167.62</v>
      </c>
      <c r="E62" s="51">
        <f>VLOOKUP(A62,'IN-04-14'!A63:D937,4)</f>
        <v>58.06</v>
      </c>
      <c r="F62" s="69">
        <f>(D62*E62)</f>
        <v>9732.0172</v>
      </c>
    </row>
    <row r="63" spans="1:6" ht="12.75">
      <c r="A63" s="82" t="s">
        <v>352</v>
      </c>
      <c r="D63" s="51"/>
      <c r="E63" s="51"/>
      <c r="F63" s="69"/>
    </row>
    <row r="64" spans="1:6" ht="12.75">
      <c r="A64" s="3" t="s">
        <v>1642</v>
      </c>
      <c r="B64" s="4" t="str">
        <f>VLOOKUP(A64,Insumos,2)</f>
        <v>canasta 2 (mixer 5m3)</v>
      </c>
      <c r="C64" s="6" t="str">
        <f>VLOOKUP(A64,Insumos,3)</f>
        <v>h</v>
      </c>
      <c r="D64" s="51">
        <v>2.11</v>
      </c>
      <c r="E64" s="51">
        <f>VLOOKUP(A64,'IN-04-14'!A65:D939,4)</f>
        <v>727.26</v>
      </c>
      <c r="F64" s="69">
        <f>(D64*E64)</f>
        <v>1534.5185999999999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231"/>
  <sheetViews>
    <sheetView showGridLines="0" zoomScale="90" zoomScaleNormal="90" zoomScaleSheetLayoutView="75" zoomScalePageLayoutView="0" workbookViewId="0" topLeftCell="A99">
      <selection activeCell="K119" sqref="K11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221" t="s">
        <v>1841</v>
      </c>
      <c r="C2" s="77" t="str">
        <f>Fecha</f>
        <v>abr-2014</v>
      </c>
      <c r="D2" s="48"/>
      <c r="E2" s="48"/>
      <c r="F2" s="222">
        <f>SUM(F4:F11)</f>
        <v>2011.6046450000001</v>
      </c>
      <c r="G2" s="41"/>
    </row>
    <row r="3" spans="1:7" ht="13.5" thickBot="1">
      <c r="A3" s="7" t="s">
        <v>345</v>
      </c>
      <c r="B3" s="7" t="s">
        <v>1714</v>
      </c>
      <c r="C3" s="78" t="s">
        <v>344</v>
      </c>
      <c r="D3" s="49" t="s">
        <v>1877</v>
      </c>
      <c r="E3" s="50"/>
      <c r="F3" s="68"/>
      <c r="G3" s="42" t="s">
        <v>347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2" t="s">
        <v>164</v>
      </c>
      <c r="B5" s="4" t="str">
        <f>VLOOKUP(A5,'IN-04-14'!$A$5:$D$441,2)</f>
        <v>medidor de agua</v>
      </c>
      <c r="C5" s="4" t="str">
        <f>VLOOKUP(A5,'IN-04-14'!$A$5:$D$441,3)</f>
        <v>u</v>
      </c>
      <c r="D5" s="51">
        <v>1</v>
      </c>
      <c r="E5" s="4">
        <f>VLOOKUP(A5,'IN-04-14'!$A$5:$D$441,4)</f>
        <v>501.9384</v>
      </c>
      <c r="F5" s="69">
        <f>(D5*E5)</f>
        <v>501.9384</v>
      </c>
    </row>
    <row r="6" spans="1:6" ht="12.75">
      <c r="A6" s="3" t="s">
        <v>1776</v>
      </c>
      <c r="B6" s="4" t="str">
        <f>VLOOKUP(A6,'IN-04-14'!$A$5:$D$441,2)</f>
        <v>kit medidor agua aprob. ASSA</v>
      </c>
      <c r="C6" s="4" t="str">
        <f>VLOOKUP(A6,'IN-04-14'!$A$5:$D$441,3)</f>
        <v>u</v>
      </c>
      <c r="D6" s="51">
        <v>1.55</v>
      </c>
      <c r="E6" s="4">
        <f>VLOOKUP(A6,'IN-04-14'!$A$5:$D$441,4)</f>
        <v>319.3479</v>
      </c>
      <c r="F6" s="69">
        <f>(D6*E6)</f>
        <v>494.989245</v>
      </c>
    </row>
    <row r="7" spans="1:6" ht="12.75">
      <c r="A7" s="3" t="s">
        <v>1777</v>
      </c>
      <c r="B7" s="4" t="str">
        <f>VLOOKUP(A7,'IN-04-14'!$A$5:$D$441,2)</f>
        <v>gabinete p/medidor agua aprobado ASSA</v>
      </c>
      <c r="C7" s="4" t="str">
        <f>VLOOKUP(A7,'IN-04-14'!$A$5:$D$441,3)</f>
        <v>u</v>
      </c>
      <c r="D7" s="51">
        <v>1</v>
      </c>
      <c r="E7" s="4">
        <f>VLOOKUP(A7,'IN-04-14'!$A$5:$D$441,4)</f>
        <v>155.4</v>
      </c>
      <c r="F7" s="69">
        <f>(D7*E7)</f>
        <v>155.4</v>
      </c>
    </row>
    <row r="8" spans="1:6" ht="12.75">
      <c r="A8" s="82" t="s">
        <v>351</v>
      </c>
      <c r="D8" s="51"/>
      <c r="E8" s="4"/>
      <c r="F8" s="69"/>
    </row>
    <row r="9" spans="1:6" ht="12.75">
      <c r="A9" s="3" t="s">
        <v>1668</v>
      </c>
      <c r="B9" s="4" t="str">
        <f>VLOOKUP(A9,Insumos,2)</f>
        <v>cuadrilla tipo U.G.A.T.S.</v>
      </c>
      <c r="C9" s="6" t="str">
        <f>VLOOKUP(A9,Insumos,3)</f>
        <v>h</v>
      </c>
      <c r="D9" s="51">
        <v>12</v>
      </c>
      <c r="E9" s="4">
        <f>VLOOKUP(A9,'IN-04-14'!$A$5:$D$441,4)</f>
        <v>67.43</v>
      </c>
      <c r="F9" s="69">
        <f>(D9*E9)</f>
        <v>809.1600000000001</v>
      </c>
    </row>
    <row r="10" spans="1:6" ht="12.75">
      <c r="A10" s="82" t="s">
        <v>352</v>
      </c>
      <c r="C10" s="6"/>
      <c r="D10" s="51"/>
      <c r="E10" s="4"/>
      <c r="F10" s="69"/>
    </row>
    <row r="11" spans="1:6" ht="12.75">
      <c r="A11" s="3" t="s">
        <v>1637</v>
      </c>
      <c r="B11" s="4" t="str">
        <f>VLOOKUP(A11,Insumos,2)</f>
        <v>canasta 1 (camión volcador)</v>
      </c>
      <c r="C11" s="6" t="str">
        <f>VLOOKUP(A11,Insumos,3)</f>
        <v>h</v>
      </c>
      <c r="D11" s="51">
        <v>0.1</v>
      </c>
      <c r="E11" s="4">
        <f>VLOOKUP(A11,'IN-04-14'!$A$5:$D$441,4)</f>
        <v>501.17</v>
      </c>
      <c r="F11" s="69">
        <f>(D11*E11)</f>
        <v>50.117000000000004</v>
      </c>
    </row>
    <row r="12" spans="1:6" ht="13.5" thickBot="1">
      <c r="A12" s="3"/>
      <c r="B12" s="4"/>
      <c r="C12" s="6"/>
      <c r="D12" s="51"/>
      <c r="E12" s="51"/>
      <c r="F12" s="69"/>
    </row>
    <row r="13" spans="1:7" ht="13.5" thickTop="1">
      <c r="A13" s="75" t="s">
        <v>346</v>
      </c>
      <c r="B13" s="221" t="s">
        <v>1878</v>
      </c>
      <c r="C13" s="77" t="str">
        <f>Fecha</f>
        <v>abr-2014</v>
      </c>
      <c r="D13" s="48"/>
      <c r="E13" s="48"/>
      <c r="F13" s="222">
        <f>SUM(F15:F24)</f>
        <v>4922.49</v>
      </c>
      <c r="G13" s="41"/>
    </row>
    <row r="14" spans="1:7" ht="13.5" thickBot="1">
      <c r="A14" s="7" t="s">
        <v>345</v>
      </c>
      <c r="B14" s="7" t="s">
        <v>1714</v>
      </c>
      <c r="C14" s="78" t="s">
        <v>344</v>
      </c>
      <c r="D14" s="49" t="s">
        <v>1879</v>
      </c>
      <c r="E14" s="50"/>
      <c r="F14" s="68"/>
      <c r="G14" s="42" t="s">
        <v>347</v>
      </c>
    </row>
    <row r="15" spans="1:6" ht="13.5" thickTop="1">
      <c r="A15" s="82" t="s">
        <v>350</v>
      </c>
      <c r="D15" s="51"/>
      <c r="E15" s="51"/>
      <c r="F15" s="69"/>
    </row>
    <row r="16" spans="1:6" ht="12.75">
      <c r="A16" s="3" t="s">
        <v>1665</v>
      </c>
      <c r="B16" s="4" t="str">
        <f>VLOOKUP(A16,'IN-04-14'!$A$5:$D$441,2)</f>
        <v>codo IPS 19 mm</v>
      </c>
      <c r="C16" s="4" t="str">
        <f>VLOOKUP(A16,'IN-04-14'!$A$5:$D$441,3)</f>
        <v>u</v>
      </c>
      <c r="D16" s="51">
        <v>45</v>
      </c>
      <c r="E16" s="4">
        <f>VLOOKUP(A16,'IN-04-14'!$A$5:$D$441,4)</f>
        <v>2.9818</v>
      </c>
      <c r="F16" s="69">
        <f>(D16*E16)</f>
        <v>134.18099999999998</v>
      </c>
    </row>
    <row r="17" spans="1:6" ht="12.75">
      <c r="A17" s="3" t="s">
        <v>1666</v>
      </c>
      <c r="B17" s="4" t="str">
        <f>VLOOKUP(A17,'IN-04-14'!$A$5:$D$441,2)</f>
        <v>caño H-3 tricapa 19 mm</v>
      </c>
      <c r="C17" s="4" t="str">
        <f>VLOOKUP(A17,'IN-04-14'!$A$5:$D$441,3)</f>
        <v>m</v>
      </c>
      <c r="D17" s="51">
        <v>46.5</v>
      </c>
      <c r="E17" s="4">
        <f>VLOOKUP(A17,'IN-04-14'!$A$5:$D$441,4)</f>
        <v>17.1218</v>
      </c>
      <c r="F17" s="69">
        <f>(D17*E17)</f>
        <v>796.1637000000001</v>
      </c>
    </row>
    <row r="18" spans="1:6" ht="12.75">
      <c r="A18" s="3" t="s">
        <v>1667</v>
      </c>
      <c r="B18" s="4" t="str">
        <f>VLOOKUP(A18,'IN-04-14'!$A$5:$D$441,2)</f>
        <v>llave de paso de bronce 0.019</v>
      </c>
      <c r="C18" s="4" t="str">
        <f>VLOOKUP(A18,'IN-04-14'!$A$5:$D$441,3)</f>
        <v>u</v>
      </c>
      <c r="D18" s="51">
        <v>6</v>
      </c>
      <c r="E18" s="4">
        <f>VLOOKUP(A18,'IN-04-14'!$A$5:$D$441,4)</f>
        <v>96.1312</v>
      </c>
      <c r="F18" s="69">
        <f>(D18*E18)</f>
        <v>576.7872</v>
      </c>
    </row>
    <row r="19" spans="1:6" ht="12.75">
      <c r="A19" s="3" t="s">
        <v>1370</v>
      </c>
      <c r="B19" s="4" t="str">
        <f>VLOOKUP(A19,'IN-04-14'!$A$5:$D$441,2)</f>
        <v>tanque de reserva 600 lts. PVC tricapa</v>
      </c>
      <c r="C19" s="4" t="str">
        <f>VLOOKUP(A19,'IN-04-14'!$A$5:$D$441,3)</f>
        <v>u</v>
      </c>
      <c r="D19" s="51">
        <v>1</v>
      </c>
      <c r="E19" s="4">
        <f>VLOOKUP(A19,'IN-04-14'!$A$5:$D$441,4)</f>
        <v>1040.1751</v>
      </c>
      <c r="F19" s="69">
        <f>(D19*E19)</f>
        <v>1040.1751</v>
      </c>
    </row>
    <row r="20" spans="1:6" ht="12.75">
      <c r="A20" s="3" t="s">
        <v>1775</v>
      </c>
      <c r="B20" s="4" t="str">
        <f>VLOOKUP(A20,'IN-04-14'!$A$5:$D$441,2)</f>
        <v>tee IPS 19 mm</v>
      </c>
      <c r="C20" s="4" t="str">
        <f>VLOOKUP(A20,'IN-04-14'!$A$5:$D$441,3)</f>
        <v>u</v>
      </c>
      <c r="D20" s="51">
        <v>30</v>
      </c>
      <c r="E20" s="4">
        <f>VLOOKUP(A20,'IN-04-14'!$A$5:$D$441,4)</f>
        <v>3.9063</v>
      </c>
      <c r="F20" s="69">
        <f>(D20*E20)</f>
        <v>117.189</v>
      </c>
    </row>
    <row r="21" spans="1:6" ht="12.75">
      <c r="A21" s="82" t="s">
        <v>351</v>
      </c>
      <c r="D21" s="51"/>
      <c r="E21" s="4"/>
      <c r="F21" s="69"/>
    </row>
    <row r="22" spans="1:6" ht="12.75">
      <c r="A22" s="3" t="s">
        <v>1668</v>
      </c>
      <c r="B22" s="4" t="str">
        <f>VLOOKUP(A22,Insumos,2)</f>
        <v>cuadrilla tipo U.G.A.T.S.</v>
      </c>
      <c r="C22" s="6" t="str">
        <f>VLOOKUP(A22,Insumos,3)</f>
        <v>h</v>
      </c>
      <c r="D22" s="51">
        <v>32</v>
      </c>
      <c r="E22" s="4">
        <f>VLOOKUP(A22,'IN-04-14'!$A$5:$D$441,4)</f>
        <v>67.43</v>
      </c>
      <c r="F22" s="69">
        <f>(D22*E22)</f>
        <v>2157.76</v>
      </c>
    </row>
    <row r="23" spans="1:6" ht="12.75">
      <c r="A23" s="82" t="s">
        <v>352</v>
      </c>
      <c r="D23" s="51"/>
      <c r="E23" s="4"/>
      <c r="F23" s="69"/>
    </row>
    <row r="24" spans="1:6" ht="12.75">
      <c r="A24" s="3" t="s">
        <v>1637</v>
      </c>
      <c r="B24" s="4" t="str">
        <f>VLOOKUP(A24,Insumos,2)</f>
        <v>canasta 1 (camión volcador)</v>
      </c>
      <c r="C24" s="6" t="str">
        <f>VLOOKUP(A24,Insumos,3)</f>
        <v>h</v>
      </c>
      <c r="D24" s="51">
        <v>0.2</v>
      </c>
      <c r="E24" s="4">
        <f>VLOOKUP(A24,'IN-04-14'!$A$5:$D$441,4)</f>
        <v>501.17</v>
      </c>
      <c r="F24" s="69">
        <f>(D24*E24)</f>
        <v>100.23400000000001</v>
      </c>
    </row>
    <row r="25" ht="13.5" thickBot="1"/>
    <row r="26" spans="1:7" ht="13.5" thickTop="1">
      <c r="A26" s="75" t="s">
        <v>346</v>
      </c>
      <c r="B26" s="221" t="s">
        <v>1880</v>
      </c>
      <c r="C26" s="77" t="str">
        <f>Fecha</f>
        <v>abr-2014</v>
      </c>
      <c r="D26" s="48"/>
      <c r="E26" s="48"/>
      <c r="F26" s="222">
        <f>SUM(F28:F40)</f>
        <v>6934.094645</v>
      </c>
      <c r="G26" s="41"/>
    </row>
    <row r="27" spans="1:7" ht="13.5" thickBot="1">
      <c r="A27" s="7" t="s">
        <v>345</v>
      </c>
      <c r="B27" s="7" t="s">
        <v>1714</v>
      </c>
      <c r="C27" s="78" t="s">
        <v>344</v>
      </c>
      <c r="D27" s="49" t="s">
        <v>1842</v>
      </c>
      <c r="E27" s="50"/>
      <c r="F27" s="68"/>
      <c r="G27" s="42" t="s">
        <v>347</v>
      </c>
    </row>
    <row r="28" spans="1:6" ht="13.5" thickTop="1">
      <c r="A28" s="82" t="s">
        <v>350</v>
      </c>
      <c r="D28" s="51"/>
      <c r="E28" s="51"/>
      <c r="F28" s="69"/>
    </row>
    <row r="29" spans="1:6" ht="12.75">
      <c r="A29" s="3" t="s">
        <v>1665</v>
      </c>
      <c r="B29" s="4" t="str">
        <f>VLOOKUP(A29,'IN-04-14'!$A$5:$D$441,2)</f>
        <v>codo IPS 19 mm</v>
      </c>
      <c r="C29" s="4" t="str">
        <f>VLOOKUP(A29,'IN-04-14'!$A$5:$D$441,3)</f>
        <v>u</v>
      </c>
      <c r="D29" s="51">
        <v>45</v>
      </c>
      <c r="E29" s="4">
        <f>VLOOKUP(A29,'IN-04-14'!$A$5:$D$441,4)</f>
        <v>2.9818</v>
      </c>
      <c r="F29" s="69">
        <f aca="true" t="shared" si="0" ref="F29:F36">(D29*E29)</f>
        <v>134.18099999999998</v>
      </c>
    </row>
    <row r="30" spans="1:6" ht="12.75">
      <c r="A30" s="3" t="s">
        <v>1666</v>
      </c>
      <c r="B30" s="4" t="str">
        <f>VLOOKUP(A30,'IN-04-14'!$A$5:$D$441,2)</f>
        <v>caño H-3 tricapa 19 mm</v>
      </c>
      <c r="C30" s="4" t="str">
        <f>VLOOKUP(A30,'IN-04-14'!$A$5:$D$441,3)</f>
        <v>m</v>
      </c>
      <c r="D30" s="51">
        <v>46.5</v>
      </c>
      <c r="E30" s="4">
        <f>VLOOKUP(A30,'IN-04-14'!$A$5:$D$441,4)</f>
        <v>17.1218</v>
      </c>
      <c r="F30" s="69">
        <f t="shared" si="0"/>
        <v>796.1637000000001</v>
      </c>
    </row>
    <row r="31" spans="1:6" ht="15" customHeight="1">
      <c r="A31" s="3" t="s">
        <v>1667</v>
      </c>
      <c r="B31" s="4" t="str">
        <f>VLOOKUP(A31,'IN-04-14'!$A$5:$D$441,2)</f>
        <v>llave de paso de bronce 0.019</v>
      </c>
      <c r="C31" s="4" t="str">
        <f>VLOOKUP(A31,'IN-04-14'!$A$5:$D$441,3)</f>
        <v>u</v>
      </c>
      <c r="D31" s="51">
        <v>6</v>
      </c>
      <c r="E31" s="4">
        <f>VLOOKUP(A31,'IN-04-14'!$A$5:$D$441,4)</f>
        <v>96.1312</v>
      </c>
      <c r="F31" s="69">
        <f t="shared" si="0"/>
        <v>576.7872</v>
      </c>
    </row>
    <row r="32" spans="1:6" ht="12.75">
      <c r="A32" s="3" t="s">
        <v>1370</v>
      </c>
      <c r="B32" s="4" t="str">
        <f>VLOOKUP(A32,'IN-04-14'!$A$5:$D$441,2)</f>
        <v>tanque de reserva 600 lts. PVC tricapa</v>
      </c>
      <c r="C32" s="4" t="str">
        <f>VLOOKUP(A32,'IN-04-14'!$A$5:$D$441,3)</f>
        <v>u</v>
      </c>
      <c r="D32" s="51">
        <v>1</v>
      </c>
      <c r="E32" s="4">
        <f>VLOOKUP(A32,'IN-04-14'!$A$5:$D$441,4)</f>
        <v>1040.1751</v>
      </c>
      <c r="F32" s="69">
        <f t="shared" si="0"/>
        <v>1040.1751</v>
      </c>
    </row>
    <row r="33" spans="1:6" ht="12.75">
      <c r="A33" s="3" t="s">
        <v>1775</v>
      </c>
      <c r="B33" s="4" t="str">
        <f>VLOOKUP(A33,'IN-04-14'!$A$5:$D$441,2)</f>
        <v>tee IPS 19 mm</v>
      </c>
      <c r="C33" s="4" t="str">
        <f>VLOOKUP(A33,'IN-04-14'!$A$5:$D$441,3)</f>
        <v>u</v>
      </c>
      <c r="D33" s="51">
        <v>30</v>
      </c>
      <c r="E33" s="4">
        <f>VLOOKUP(A33,'IN-04-14'!$A$5:$D$441,4)</f>
        <v>3.9063</v>
      </c>
      <c r="F33" s="69">
        <f t="shared" si="0"/>
        <v>117.189</v>
      </c>
    </row>
    <row r="34" spans="1:6" ht="12.75">
      <c r="A34" s="3" t="s">
        <v>1776</v>
      </c>
      <c r="B34" s="4" t="str">
        <f>VLOOKUP(A34,'IN-04-14'!$A$5:$D$441,2)</f>
        <v>kit medidor agua aprob. ASSA</v>
      </c>
      <c r="C34" s="4" t="str">
        <f>VLOOKUP(A34,'IN-04-14'!$A$5:$D$441,3)</f>
        <v>u</v>
      </c>
      <c r="D34" s="51">
        <v>1.55</v>
      </c>
      <c r="E34" s="4">
        <f>VLOOKUP(A34,'IN-04-14'!$A$5:$D$441,4)</f>
        <v>319.3479</v>
      </c>
      <c r="F34" s="69">
        <f t="shared" si="0"/>
        <v>494.989245</v>
      </c>
    </row>
    <row r="35" spans="1:6" ht="12.75">
      <c r="A35" s="3" t="s">
        <v>1777</v>
      </c>
      <c r="B35" s="4" t="str">
        <f>VLOOKUP(A35,'IN-04-14'!$A$5:$D$441,2)</f>
        <v>gabinete p/medidor agua aprobado ASSA</v>
      </c>
      <c r="C35" s="4" t="str">
        <f>VLOOKUP(A35,'IN-04-14'!$A$5:$D$441,3)</f>
        <v>u</v>
      </c>
      <c r="D35" s="51">
        <v>1</v>
      </c>
      <c r="E35" s="4">
        <f>VLOOKUP(A35,'IN-04-14'!$A$5:$D$441,4)</f>
        <v>155.4</v>
      </c>
      <c r="F35" s="69">
        <f t="shared" si="0"/>
        <v>155.4</v>
      </c>
    </row>
    <row r="36" spans="1:6" ht="12.75">
      <c r="A36" s="2" t="s">
        <v>164</v>
      </c>
      <c r="B36" s="4" t="str">
        <f>VLOOKUP(A36,'IN-04-14'!$A$5:$D$441,2)</f>
        <v>medidor de agua</v>
      </c>
      <c r="C36" s="4" t="str">
        <f>VLOOKUP(A36,'IN-04-14'!$A$5:$D$441,3)</f>
        <v>u</v>
      </c>
      <c r="D36" s="51">
        <v>1</v>
      </c>
      <c r="E36" s="4">
        <f>VLOOKUP(A36,'IN-04-14'!$A$5:$D$441,4)</f>
        <v>501.9384</v>
      </c>
      <c r="F36" s="69">
        <f t="shared" si="0"/>
        <v>501.9384</v>
      </c>
    </row>
    <row r="37" spans="1:6" ht="12.75">
      <c r="A37" s="82" t="s">
        <v>351</v>
      </c>
      <c r="D37" s="51"/>
      <c r="E37" s="4"/>
      <c r="F37" s="69"/>
    </row>
    <row r="38" spans="1:6" ht="12.75">
      <c r="A38" s="3" t="s">
        <v>1668</v>
      </c>
      <c r="B38" s="4" t="str">
        <f>VLOOKUP(A38,Insumos,2)</f>
        <v>cuadrilla tipo U.G.A.T.S.</v>
      </c>
      <c r="C38" s="6" t="str">
        <f>VLOOKUP(A38,Insumos,3)</f>
        <v>h</v>
      </c>
      <c r="D38" s="51">
        <f>32+12</f>
        <v>44</v>
      </c>
      <c r="E38" s="4">
        <f>VLOOKUP(A38,'IN-04-14'!$A$5:$D$441,4)</f>
        <v>67.43</v>
      </c>
      <c r="F38" s="69">
        <f>(D38*E38)</f>
        <v>2966.92</v>
      </c>
    </row>
    <row r="39" spans="1:6" ht="12.75">
      <c r="A39" s="82" t="s">
        <v>352</v>
      </c>
      <c r="D39" s="51"/>
      <c r="E39" s="4"/>
      <c r="F39" s="69"/>
    </row>
    <row r="40" spans="1:6" ht="12.75">
      <c r="A40" s="3" t="s">
        <v>1637</v>
      </c>
      <c r="B40" s="4" t="str">
        <f>VLOOKUP(A40,Insumos,2)</f>
        <v>canasta 1 (camión volcador)</v>
      </c>
      <c r="C40" s="6" t="str">
        <f>VLOOKUP(A40,Insumos,3)</f>
        <v>h</v>
      </c>
      <c r="D40" s="51">
        <v>0.3</v>
      </c>
      <c r="E40" s="4">
        <f>VLOOKUP(A40,'IN-04-14'!$A$5:$D$441,4)</f>
        <v>501.17</v>
      </c>
      <c r="F40" s="69">
        <f>(D40*E40)</f>
        <v>150.351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346</v>
      </c>
      <c r="B42" s="221" t="s">
        <v>1715</v>
      </c>
      <c r="C42" s="77" t="str">
        <f>Fecha</f>
        <v>abr-2014</v>
      </c>
      <c r="D42" s="48"/>
      <c r="E42" s="48"/>
      <c r="F42" s="222">
        <f>SUM(F44:F54)</f>
        <v>21417.2462117</v>
      </c>
      <c r="G42" s="41"/>
    </row>
    <row r="43" spans="1:7" ht="13.5" thickBot="1">
      <c r="A43" s="7" t="s">
        <v>345</v>
      </c>
      <c r="B43" s="7" t="s">
        <v>1714</v>
      </c>
      <c r="C43" s="78" t="s">
        <v>344</v>
      </c>
      <c r="D43" s="49" t="s">
        <v>357</v>
      </c>
      <c r="E43" s="50"/>
      <c r="F43" s="68"/>
      <c r="G43" s="42" t="s">
        <v>347</v>
      </c>
    </row>
    <row r="44" spans="1:6" ht="15.75" customHeight="1" thickTop="1">
      <c r="A44" s="82" t="s">
        <v>350</v>
      </c>
      <c r="D44" s="51"/>
      <c r="E44" s="51"/>
      <c r="F44" s="69"/>
    </row>
    <row r="45" spans="1:6" ht="12.75">
      <c r="A45" s="3" t="s">
        <v>1667</v>
      </c>
      <c r="B45" s="4" t="str">
        <f>VLOOKUP(A45,'IN-04-14'!$A$5:$D$441,2)</f>
        <v>llave de paso de bronce 0.019</v>
      </c>
      <c r="C45" s="4" t="str">
        <f>VLOOKUP(A45,'IN-04-14'!$A$5:$D$441,3)</f>
        <v>u</v>
      </c>
      <c r="D45" s="51">
        <v>18.493</v>
      </c>
      <c r="E45" s="4">
        <f>VLOOKUP(A45,'IN-04-14'!$A$5:$D$441,4)</f>
        <v>96.1312</v>
      </c>
      <c r="F45" s="69">
        <f aca="true" t="shared" si="1" ref="F45:F50">(D45*E45)</f>
        <v>1777.7542816</v>
      </c>
    </row>
    <row r="46" spans="1:6" ht="12.75">
      <c r="A46" s="3" t="s">
        <v>1665</v>
      </c>
      <c r="B46" s="4" t="str">
        <f>VLOOKUP(A46,'IN-04-14'!$A$5:$D$441,2)</f>
        <v>codo IPS 19 mm</v>
      </c>
      <c r="C46" s="4" t="str">
        <f>VLOOKUP(A46,'IN-04-14'!$A$5:$D$441,3)</f>
        <v>u</v>
      </c>
      <c r="D46" s="51">
        <v>191.596</v>
      </c>
      <c r="E46" s="4">
        <f>VLOOKUP(A46,'IN-04-14'!$A$5:$D$441,4)</f>
        <v>2.9818</v>
      </c>
      <c r="F46" s="69">
        <f t="shared" si="1"/>
        <v>571.3009528</v>
      </c>
    </row>
    <row r="47" spans="1:6" ht="12.75">
      <c r="A47" s="3" t="s">
        <v>1666</v>
      </c>
      <c r="B47" s="4" t="str">
        <f>VLOOKUP(A47,'IN-04-14'!$A$5:$D$441,2)</f>
        <v>caño H-3 tricapa 19 mm</v>
      </c>
      <c r="C47" s="4" t="str">
        <f>VLOOKUP(A47,'IN-04-14'!$A$5:$D$441,3)</f>
        <v>m</v>
      </c>
      <c r="D47" s="51">
        <v>276.287</v>
      </c>
      <c r="E47" s="4">
        <f>VLOOKUP(A47,'IN-04-14'!$A$5:$D$441,4)</f>
        <v>17.1218</v>
      </c>
      <c r="F47" s="69">
        <f t="shared" si="1"/>
        <v>4730.5307566</v>
      </c>
    </row>
    <row r="48" spans="1:6" ht="12.75">
      <c r="A48" s="3" t="s">
        <v>1779</v>
      </c>
      <c r="B48" s="4" t="str">
        <f>VLOOKUP(A48,'IN-04-14'!$A$5:$D$441,2)</f>
        <v>válvula exclusa bronce 25 mm</v>
      </c>
      <c r="C48" s="4" t="str">
        <f>VLOOKUP(A48,'IN-04-14'!$A$5:$D$441,3)</f>
        <v>u</v>
      </c>
      <c r="D48" s="51">
        <v>24.968</v>
      </c>
      <c r="E48" s="4">
        <f>VLOOKUP(A48,'IN-04-14'!$A$5:$D$441,4)</f>
        <v>121.9696</v>
      </c>
      <c r="F48" s="69">
        <f t="shared" si="1"/>
        <v>3045.3369728</v>
      </c>
    </row>
    <row r="49" spans="1:6" ht="12.75">
      <c r="A49" s="3" t="s">
        <v>1778</v>
      </c>
      <c r="B49" s="4" t="str">
        <f>VLOOKUP(A49,'IN-04-14'!$A$5:$D$441,2)</f>
        <v>caño H-3 tricapa 25 mm</v>
      </c>
      <c r="C49" s="4" t="str">
        <f>VLOOKUP(A49,'IN-04-14'!$A$5:$D$441,3)</f>
        <v>m</v>
      </c>
      <c r="D49" s="51">
        <v>20.826</v>
      </c>
      <c r="E49" s="4">
        <f>VLOOKUP(A49,'IN-04-14'!$A$5:$D$441,4)</f>
        <v>30.1913</v>
      </c>
      <c r="F49" s="69">
        <f t="shared" si="1"/>
        <v>628.7640137999999</v>
      </c>
    </row>
    <row r="50" spans="1:6" ht="12.75">
      <c r="A50" s="3" t="s">
        <v>1775</v>
      </c>
      <c r="B50" s="4" t="str">
        <f>VLOOKUP(A50,'IN-04-14'!$A$5:$D$441,2)</f>
        <v>tee IPS 19 mm</v>
      </c>
      <c r="C50" s="4" t="str">
        <f>VLOOKUP(A50,'IN-04-14'!$A$5:$D$441,3)</f>
        <v>u</v>
      </c>
      <c r="D50" s="51">
        <v>130.507</v>
      </c>
      <c r="E50" s="4">
        <f>VLOOKUP(A50,'IN-04-14'!$A$5:$D$441,4)</f>
        <v>3.9063</v>
      </c>
      <c r="F50" s="69">
        <f t="shared" si="1"/>
        <v>509.7994941</v>
      </c>
    </row>
    <row r="51" spans="1:6" ht="12.75">
      <c r="A51" s="82" t="s">
        <v>351</v>
      </c>
      <c r="D51" s="51"/>
      <c r="E51" s="4"/>
      <c r="F51" s="69"/>
    </row>
    <row r="52" spans="1:6" ht="12.75">
      <c r="A52" s="3" t="s">
        <v>1668</v>
      </c>
      <c r="B52" s="4" t="str">
        <f>VLOOKUP(A52,Insumos,2)</f>
        <v>cuadrilla tipo U.G.A.T.S.</v>
      </c>
      <c r="C52" s="6" t="str">
        <f>VLOOKUP(A52,Insumos,3)</f>
        <v>h</v>
      </c>
      <c r="D52" s="51">
        <v>144.391</v>
      </c>
      <c r="E52" s="4">
        <f>VLOOKUP(A52,'IN-04-14'!$A$5:$D$441,4)</f>
        <v>67.43</v>
      </c>
      <c r="F52" s="69">
        <f>(D52*E52)</f>
        <v>9736.28513</v>
      </c>
    </row>
    <row r="53" spans="1:6" ht="12.75">
      <c r="A53" s="82" t="s">
        <v>352</v>
      </c>
      <c r="D53" s="51"/>
      <c r="E53" s="4"/>
      <c r="F53" s="69"/>
    </row>
    <row r="54" spans="1:6" ht="12.75">
      <c r="A54" s="3" t="s">
        <v>1637</v>
      </c>
      <c r="B54" s="4" t="str">
        <f>VLOOKUP(A54,Insumos,2)</f>
        <v>canasta 1 (camión volcador)</v>
      </c>
      <c r="C54" s="6" t="str">
        <f>VLOOKUP(A54,Insumos,3)</f>
        <v>h</v>
      </c>
      <c r="D54" s="51">
        <v>0.833</v>
      </c>
      <c r="E54" s="4">
        <f>VLOOKUP(A54,'IN-04-14'!$A$5:$D$441,4)</f>
        <v>501.17</v>
      </c>
      <c r="F54" s="69">
        <f>(D54*E54)</f>
        <v>417.47461</v>
      </c>
    </row>
    <row r="55" ht="13.5" thickBot="1"/>
    <row r="56" spans="1:7" ht="13.5" thickTop="1">
      <c r="A56" s="75" t="s">
        <v>346</v>
      </c>
      <c r="B56" s="221" t="s">
        <v>1843</v>
      </c>
      <c r="C56" s="77" t="str">
        <f>Fecha</f>
        <v>abr-2014</v>
      </c>
      <c r="D56" s="48"/>
      <c r="E56" s="48"/>
      <c r="F56" s="222">
        <f>SUM(F58:F64)</f>
        <v>6834.013250000002</v>
      </c>
      <c r="G56" s="41"/>
    </row>
    <row r="57" spans="1:7" ht="13.5" thickBot="1">
      <c r="A57" s="7" t="s">
        <v>345</v>
      </c>
      <c r="B57" s="7" t="s">
        <v>1716</v>
      </c>
      <c r="C57" s="78" t="s">
        <v>344</v>
      </c>
      <c r="D57" s="49" t="s">
        <v>1901</v>
      </c>
      <c r="E57" s="50"/>
      <c r="F57" s="68"/>
      <c r="G57" s="42" t="s">
        <v>347</v>
      </c>
    </row>
    <row r="58" spans="1:6" ht="13.5" thickTop="1">
      <c r="A58" s="82" t="s">
        <v>350</v>
      </c>
      <c r="D58" s="51"/>
      <c r="E58" s="51"/>
      <c r="F58" s="69"/>
    </row>
    <row r="59" spans="1:6" ht="12.75">
      <c r="A59" s="3" t="s">
        <v>1669</v>
      </c>
      <c r="B59" s="4" t="str">
        <f>VLOOKUP(A59,'IN-04-14'!$A$5:$D$441,2)</f>
        <v>juego llave y flor p/ducha cromada</v>
      </c>
      <c r="C59" s="4" t="str">
        <f>VLOOKUP(A59,'IN-04-14'!$A$5:$D$441,3)</f>
        <v>u</v>
      </c>
      <c r="D59" s="51">
        <v>4.65</v>
      </c>
      <c r="E59" s="4">
        <f>VLOOKUP(A59,'IN-04-14'!$A$5:$D$441,4)</f>
        <v>818.44</v>
      </c>
      <c r="F59" s="69">
        <f>(D59*E59)</f>
        <v>3805.7460000000005</v>
      </c>
    </row>
    <row r="60" spans="1:6" ht="12.75">
      <c r="A60" s="3" t="s">
        <v>1670</v>
      </c>
      <c r="B60" s="4" t="str">
        <f>VLOOKUP(A60,'IN-04-14'!$A$5:$D$441,2)</f>
        <v>inodoro sifónico losa</v>
      </c>
      <c r="C60" s="4" t="str">
        <f>VLOOKUP(A60,'IN-04-14'!$A$5:$D$441,3)</f>
        <v>u</v>
      </c>
      <c r="D60" s="51">
        <v>5.51</v>
      </c>
      <c r="E60" s="4">
        <f>VLOOKUP(A60,'IN-04-14'!$A$5:$D$441,4)</f>
        <v>360.075</v>
      </c>
      <c r="F60" s="69">
        <f>(D60*E60)</f>
        <v>1984.01325</v>
      </c>
    </row>
    <row r="61" spans="1:6" ht="12.75">
      <c r="A61" s="82" t="s">
        <v>351</v>
      </c>
      <c r="D61" s="51"/>
      <c r="E61" s="4"/>
      <c r="F61" s="69"/>
    </row>
    <row r="62" spans="1:6" ht="12.75">
      <c r="A62" s="3" t="s">
        <v>1668</v>
      </c>
      <c r="B62" s="4" t="str">
        <f>VLOOKUP(A62,Insumos,2)</f>
        <v>cuadrilla tipo U.G.A.T.S.</v>
      </c>
      <c r="C62" s="6" t="str">
        <f>VLOOKUP(A62,Insumos,3)</f>
        <v>h</v>
      </c>
      <c r="D62" s="51">
        <v>14</v>
      </c>
      <c r="E62" s="4">
        <f>VLOOKUP(A62,'IN-04-14'!$A$5:$D$441,4)</f>
        <v>67.43</v>
      </c>
      <c r="F62" s="69">
        <f>(D62*E62)</f>
        <v>944.0200000000001</v>
      </c>
    </row>
    <row r="63" spans="1:6" ht="12.75">
      <c r="A63" s="82" t="s">
        <v>352</v>
      </c>
      <c r="D63" s="51"/>
      <c r="E63" s="4"/>
      <c r="F63" s="69"/>
    </row>
    <row r="64" spans="1:6" ht="12.75">
      <c r="A64" s="3" t="s">
        <v>1637</v>
      </c>
      <c r="B64" s="4" t="str">
        <f>VLOOKUP(A64,Insumos,2)</f>
        <v>canasta 1 (camión volcador)</v>
      </c>
      <c r="C64" s="6" t="str">
        <f>VLOOKUP(A64,Insumos,3)</f>
        <v>h</v>
      </c>
      <c r="D64" s="51">
        <v>0.2</v>
      </c>
      <c r="E64" s="4">
        <f>VLOOKUP(A64,'IN-04-14'!$A$5:$D$441,4)</f>
        <v>501.17</v>
      </c>
      <c r="F64" s="69">
        <f>(D64*E64)</f>
        <v>100.23400000000001</v>
      </c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346</v>
      </c>
      <c r="B66" s="221" t="s">
        <v>359</v>
      </c>
      <c r="C66" s="77" t="str">
        <f>Fecha</f>
        <v>abr-2014</v>
      </c>
      <c r="D66" s="48"/>
      <c r="E66" s="48"/>
      <c r="F66" s="222">
        <f>SUM(F68:F74)</f>
        <v>45951.086970000004</v>
      </c>
      <c r="G66" s="41"/>
    </row>
    <row r="67" spans="1:7" ht="13.5" thickBot="1">
      <c r="A67" s="7" t="s">
        <v>345</v>
      </c>
      <c r="B67" s="7" t="s">
        <v>1716</v>
      </c>
      <c r="C67" s="78" t="s">
        <v>344</v>
      </c>
      <c r="D67" s="49" t="s">
        <v>358</v>
      </c>
      <c r="E67" s="50"/>
      <c r="F67" s="68"/>
      <c r="G67" s="42" t="s">
        <v>347</v>
      </c>
    </row>
    <row r="68" spans="1:6" ht="13.5" thickTop="1">
      <c r="A68" s="82" t="s">
        <v>350</v>
      </c>
      <c r="D68" s="51"/>
      <c r="E68" s="51"/>
      <c r="F68" s="69"/>
    </row>
    <row r="69" spans="1:6" ht="12.75">
      <c r="A69" s="3" t="s">
        <v>1669</v>
      </c>
      <c r="B69" s="4" t="str">
        <f>VLOOKUP(A69,'IN-04-14'!$A$5:$D$441,2)</f>
        <v>juego llave y flor p/ducha cromada</v>
      </c>
      <c r="C69" s="4" t="str">
        <f>VLOOKUP(A69,'IN-04-14'!$A$5:$D$441,3)</f>
        <v>u</v>
      </c>
      <c r="D69" s="51">
        <v>34.798</v>
      </c>
      <c r="E69" s="4">
        <f>VLOOKUP(A69,'IN-04-14'!$A$5:$D$441,4)</f>
        <v>818.44</v>
      </c>
      <c r="F69" s="69">
        <f>(D69*E69)</f>
        <v>28480.075120000005</v>
      </c>
    </row>
    <row r="70" spans="1:6" ht="12.75">
      <c r="A70" s="3" t="s">
        <v>1670</v>
      </c>
      <c r="B70" s="4" t="str">
        <f>VLOOKUP(A70,'IN-04-14'!$A$5:$D$441,2)</f>
        <v>inodoro sifónico losa</v>
      </c>
      <c r="C70" s="4" t="str">
        <f>VLOOKUP(A70,'IN-04-14'!$A$5:$D$441,3)</f>
        <v>u</v>
      </c>
      <c r="D70" s="51">
        <v>32.95</v>
      </c>
      <c r="E70" s="4">
        <f>VLOOKUP(A70,'IN-04-14'!$A$5:$D$441,4)</f>
        <v>360.075</v>
      </c>
      <c r="F70" s="69">
        <f>(D70*E70)</f>
        <v>11864.47125</v>
      </c>
    </row>
    <row r="71" spans="1:6" ht="12.75">
      <c r="A71" s="82" t="s">
        <v>351</v>
      </c>
      <c r="D71" s="51"/>
      <c r="E71" s="4"/>
      <c r="F71" s="69"/>
    </row>
    <row r="72" spans="1:6" ht="12.75">
      <c r="A72" s="3" t="s">
        <v>1668</v>
      </c>
      <c r="B72" s="4" t="str">
        <f>VLOOKUP(A72,Insumos,2)</f>
        <v>cuadrilla tipo U.G.A.T.S.</v>
      </c>
      <c r="C72" s="6" t="str">
        <f>VLOOKUP(A72,Insumos,3)</f>
        <v>h</v>
      </c>
      <c r="D72" s="51">
        <v>68.192</v>
      </c>
      <c r="E72" s="4">
        <f>VLOOKUP(A72,'IN-04-14'!$A$5:$D$441,4)</f>
        <v>67.43</v>
      </c>
      <c r="F72" s="69">
        <f>(D72*E72)</f>
        <v>4598.18656</v>
      </c>
    </row>
    <row r="73" spans="1:6" ht="12.75">
      <c r="A73" s="82" t="s">
        <v>352</v>
      </c>
      <c r="D73" s="51"/>
      <c r="E73" s="4"/>
      <c r="F73" s="69"/>
    </row>
    <row r="74" spans="1:6" ht="12.75">
      <c r="A74" s="3" t="s">
        <v>1637</v>
      </c>
      <c r="B74" s="4" t="str">
        <f>VLOOKUP(A74,Insumos,2)</f>
        <v>canasta 1 (camión volcador)</v>
      </c>
      <c r="C74" s="6" t="str">
        <f>VLOOKUP(A74,Insumos,3)</f>
        <v>h</v>
      </c>
      <c r="D74" s="51">
        <v>2.012</v>
      </c>
      <c r="E74" s="4">
        <f>VLOOKUP(A74,'IN-04-14'!$A$5:$D$441,4)</f>
        <v>501.17</v>
      </c>
      <c r="F74" s="69">
        <f>(D74*E74)</f>
        <v>1008.35404</v>
      </c>
    </row>
    <row r="75" spans="1:6" ht="13.5" thickBot="1">
      <c r="A75" s="3"/>
      <c r="B75" s="4"/>
      <c r="C75" s="6"/>
      <c r="D75" s="51"/>
      <c r="E75" s="51"/>
      <c r="F75" s="69"/>
    </row>
    <row r="76" spans="1:7" ht="13.5" thickTop="1">
      <c r="A76" s="75" t="s">
        <v>346</v>
      </c>
      <c r="B76" s="221" t="s">
        <v>1887</v>
      </c>
      <c r="C76" s="77" t="str">
        <f>Fecha</f>
        <v>abr-2014</v>
      </c>
      <c r="D76" s="48"/>
      <c r="E76" s="48"/>
      <c r="F76" s="222">
        <f>SUM(F78:F86)</f>
        <v>6348.709575</v>
      </c>
      <c r="G76" s="41"/>
    </row>
    <row r="77" spans="1:7" ht="13.5" thickBot="1">
      <c r="A77" s="7" t="s">
        <v>345</v>
      </c>
      <c r="B77" s="7" t="s">
        <v>1717</v>
      </c>
      <c r="C77" s="78" t="s">
        <v>344</v>
      </c>
      <c r="D77" s="49" t="s">
        <v>1906</v>
      </c>
      <c r="E77" s="50"/>
      <c r="F77" s="68"/>
      <c r="G77" s="42" t="s">
        <v>347</v>
      </c>
    </row>
    <row r="78" spans="1:6" ht="13.5" thickTop="1">
      <c r="A78" s="82" t="s">
        <v>350</v>
      </c>
      <c r="D78" s="51"/>
      <c r="E78" s="51"/>
      <c r="F78" s="69"/>
    </row>
    <row r="79" spans="1:6" ht="12.75">
      <c r="A79" s="3" t="s">
        <v>1672</v>
      </c>
      <c r="B79" s="4" t="str">
        <f>VLOOKUP(A79,'IN-04-14'!$A$5:$D$441,2)</f>
        <v>caño PVC 3.2 p/desague cloacal 0.110 x 4 m.</v>
      </c>
      <c r="C79" s="4" t="str">
        <f>VLOOKUP(A79,'IN-04-14'!$A$5:$D$441,3)</f>
        <v>m</v>
      </c>
      <c r="D79" s="51">
        <v>41.378</v>
      </c>
      <c r="E79" s="4">
        <f>VLOOKUP(A79,'IN-04-14'!$A$5:$D$441,4)</f>
        <v>57.758</v>
      </c>
      <c r="F79" s="69">
        <f>(D79*E79)</f>
        <v>2389.910524</v>
      </c>
    </row>
    <row r="80" spans="1:6" ht="12.75">
      <c r="A80" s="3" t="s">
        <v>1888</v>
      </c>
      <c r="B80" s="4" t="str">
        <f>VLOOKUP(A80,'IN-04-14'!$A$5:$D$441,2)</f>
        <v>caño PVC 3.2 p/desague cloacal 0.060 x 4 m.</v>
      </c>
      <c r="C80" s="4" t="str">
        <f>VLOOKUP(A80,'IN-04-14'!$A$5:$D$441,3)</f>
        <v>m</v>
      </c>
      <c r="D80" s="51">
        <v>9.558</v>
      </c>
      <c r="E80" s="4">
        <f>VLOOKUP(A80,'IN-04-14'!$A$5:$D$441,4)</f>
        <v>45.5933</v>
      </c>
      <c r="F80" s="69">
        <f>(D80*E80)</f>
        <v>435.78076139999996</v>
      </c>
    </row>
    <row r="81" spans="1:6" ht="12.75">
      <c r="A81" s="3" t="s">
        <v>1889</v>
      </c>
      <c r="B81" s="4" t="str">
        <f>VLOOKUP(A81,'IN-04-14'!$A$5:$D$441,2)</f>
        <v>ramal Y PVC 0.110x0.63</v>
      </c>
      <c r="C81" s="4" t="str">
        <f>VLOOKUP(A81,'IN-04-14'!$A$5:$D$441,3)</f>
        <v>u</v>
      </c>
      <c r="D81" s="51">
        <v>19.931</v>
      </c>
      <c r="E81" s="4">
        <f>VLOOKUP(A81,'IN-04-14'!$A$5:$D$441,4)</f>
        <v>30.2016</v>
      </c>
      <c r="F81" s="69">
        <f>(D81*E81)</f>
        <v>601.9480896</v>
      </c>
    </row>
    <row r="82" spans="1:6" ht="12.75">
      <c r="A82" s="3" t="s">
        <v>1639</v>
      </c>
      <c r="B82" s="4" t="str">
        <f>VLOOKUP(A82,Insumos,2)</f>
        <v>cemento Portland</v>
      </c>
      <c r="C82" s="6" t="str">
        <f>VLOOKUP(A82,Insumos,3)</f>
        <v>kg</v>
      </c>
      <c r="D82" s="51">
        <v>90.118</v>
      </c>
      <c r="E82" s="4">
        <f>VLOOKUP(A82,'IN-04-14'!$A$5:$D$441,4)</f>
        <v>1.65</v>
      </c>
      <c r="F82" s="69">
        <f>(D82*E82)</f>
        <v>148.69469999999998</v>
      </c>
    </row>
    <row r="83" spans="1:6" ht="12.75">
      <c r="A83" s="82" t="s">
        <v>351</v>
      </c>
      <c r="D83" s="51"/>
      <c r="E83" s="4"/>
      <c r="F83" s="69"/>
    </row>
    <row r="84" spans="1:6" ht="12.75">
      <c r="A84" s="3" t="s">
        <v>1668</v>
      </c>
      <c r="B84" s="4" t="str">
        <f>VLOOKUP(A84,Insumos,2)</f>
        <v>cuadrilla tipo U.G.A.T.S.</v>
      </c>
      <c r="C84" s="6" t="str">
        <f>VLOOKUP(A84,Insumos,3)</f>
        <v>h</v>
      </c>
      <c r="D84" s="51">
        <v>40</v>
      </c>
      <c r="E84" s="4">
        <f>VLOOKUP(A84,'IN-04-14'!$A$5:$D$441,4)</f>
        <v>67.43</v>
      </c>
      <c r="F84" s="69">
        <f>(D84*E84)</f>
        <v>2697.2000000000003</v>
      </c>
    </row>
    <row r="85" spans="1:6" ht="12.75">
      <c r="A85" s="82" t="s">
        <v>352</v>
      </c>
      <c r="D85" s="51"/>
      <c r="E85" s="4"/>
      <c r="F85" s="69"/>
    </row>
    <row r="86" spans="1:6" ht="12.75">
      <c r="A86" s="3" t="s">
        <v>1637</v>
      </c>
      <c r="B86" s="4" t="str">
        <f>VLOOKUP(A86,Insumos,2)</f>
        <v>canasta 1 (camión volcador)</v>
      </c>
      <c r="C86" s="6" t="str">
        <f>VLOOKUP(A86,Insumos,3)</f>
        <v>h</v>
      </c>
      <c r="D86" s="51">
        <v>0.15</v>
      </c>
      <c r="E86" s="4">
        <f>VLOOKUP(A86,'IN-04-14'!$A$5:$D$441,4)</f>
        <v>501.17</v>
      </c>
      <c r="F86" s="69">
        <f>(D86*E86)</f>
        <v>75.1755</v>
      </c>
    </row>
    <row r="87" spans="1:6" ht="13.5" thickBot="1">
      <c r="A87" s="3"/>
      <c r="B87" s="4"/>
      <c r="C87" s="6"/>
      <c r="D87" s="51"/>
      <c r="E87" s="51"/>
      <c r="F87" s="69"/>
    </row>
    <row r="88" spans="1:7" ht="13.5" thickTop="1">
      <c r="A88" s="75" t="s">
        <v>346</v>
      </c>
      <c r="B88" s="221" t="s">
        <v>1881</v>
      </c>
      <c r="C88" s="77" t="str">
        <f>Fecha</f>
        <v>abr-2014</v>
      </c>
      <c r="D88" s="48"/>
      <c r="E88" s="48"/>
      <c r="F88" s="222">
        <f>SUM(F90:F98)</f>
        <v>8151.004983000001</v>
      </c>
      <c r="G88" s="41"/>
    </row>
    <row r="89" spans="1:7" ht="13.5" thickBot="1">
      <c r="A89" s="7" t="s">
        <v>345</v>
      </c>
      <c r="B89" s="7" t="s">
        <v>1717</v>
      </c>
      <c r="C89" s="78" t="s">
        <v>344</v>
      </c>
      <c r="D89" s="49" t="s">
        <v>1907</v>
      </c>
      <c r="E89" s="50"/>
      <c r="F89" s="68"/>
      <c r="G89" s="42" t="s">
        <v>347</v>
      </c>
    </row>
    <row r="90" spans="1:6" ht="13.5" thickTop="1">
      <c r="A90" s="82" t="s">
        <v>350</v>
      </c>
      <c r="D90" s="51"/>
      <c r="E90" s="51"/>
      <c r="F90" s="69"/>
    </row>
    <row r="91" spans="1:6" ht="12.75">
      <c r="A91" s="3" t="s">
        <v>1672</v>
      </c>
      <c r="B91" s="4" t="str">
        <f>VLOOKUP(A91,'IN-04-14'!$A$5:$D$441,2)</f>
        <v>caño PVC 3.2 p/desague cloacal 0.110 x 4 m.</v>
      </c>
      <c r="C91" s="4" t="str">
        <f>VLOOKUP(A91,'IN-04-14'!$A$5:$D$441,3)</f>
        <v>m</v>
      </c>
      <c r="D91" s="51">
        <v>55.804</v>
      </c>
      <c r="E91" s="4">
        <f>VLOOKUP(A91,'IN-04-14'!$A$5:$D$441,4)</f>
        <v>57.758</v>
      </c>
      <c r="F91" s="69">
        <f>(D91*E91)</f>
        <v>3223.127432</v>
      </c>
    </row>
    <row r="92" spans="1:6" ht="12.75">
      <c r="A92" s="3" t="s">
        <v>1888</v>
      </c>
      <c r="B92" s="4" t="str">
        <f>VLOOKUP(A92,'IN-04-14'!$A$5:$D$441,2)</f>
        <v>caño PVC 3.2 p/desague cloacal 0.060 x 4 m.</v>
      </c>
      <c r="C92" s="4" t="str">
        <f>VLOOKUP(A92,'IN-04-14'!$A$5:$D$441,3)</f>
        <v>m</v>
      </c>
      <c r="D92" s="51">
        <v>9.558</v>
      </c>
      <c r="E92" s="4">
        <f>VLOOKUP(A92,'IN-04-14'!$A$5:$D$441,4)</f>
        <v>45.5933</v>
      </c>
      <c r="F92" s="69">
        <f>(D92*E92)</f>
        <v>435.78076139999996</v>
      </c>
    </row>
    <row r="93" spans="1:6" ht="12.75">
      <c r="A93" s="3" t="s">
        <v>1889</v>
      </c>
      <c r="B93" s="4" t="str">
        <f>VLOOKUP(A93,'IN-04-14'!$A$5:$D$441,2)</f>
        <v>ramal Y PVC 0.110x0.63</v>
      </c>
      <c r="C93" s="4" t="str">
        <f>VLOOKUP(A93,'IN-04-14'!$A$5:$D$441,3)</f>
        <v>u</v>
      </c>
      <c r="D93" s="51">
        <v>19.931</v>
      </c>
      <c r="E93" s="4">
        <f>VLOOKUP(A93,'IN-04-14'!$A$5:$D$441,4)</f>
        <v>30.2016</v>
      </c>
      <c r="F93" s="69">
        <f>(D93*E93)</f>
        <v>601.9480896</v>
      </c>
    </row>
    <row r="94" spans="1:6" ht="12.75">
      <c r="A94" s="3" t="s">
        <v>1639</v>
      </c>
      <c r="B94" s="4" t="str">
        <f>VLOOKUP(A94,Insumos,2)</f>
        <v>cemento Portland</v>
      </c>
      <c r="C94" s="6" t="str">
        <f>VLOOKUP(A94,Insumos,3)</f>
        <v>kg</v>
      </c>
      <c r="D94" s="51">
        <v>90.118</v>
      </c>
      <c r="E94" s="4">
        <f>VLOOKUP(A94,'IN-04-14'!$A$5:$D$441,4)</f>
        <v>1.65</v>
      </c>
      <c r="F94" s="69">
        <f>(D94*E94)</f>
        <v>148.69469999999998</v>
      </c>
    </row>
    <row r="95" spans="1:6" ht="12.75">
      <c r="A95" s="82" t="s">
        <v>351</v>
      </c>
      <c r="C95" s="6"/>
      <c r="D95" s="51"/>
      <c r="E95" s="4"/>
      <c r="F95" s="69"/>
    </row>
    <row r="96" spans="1:6" ht="12.75">
      <c r="A96" s="3" t="s">
        <v>1668</v>
      </c>
      <c r="B96" s="4" t="str">
        <f>VLOOKUP(A96,Insumos,2)</f>
        <v>cuadrilla tipo U.G.A.T.S.</v>
      </c>
      <c r="C96" s="6" t="str">
        <f>VLOOKUP(A96,Insumos,3)</f>
        <v>h</v>
      </c>
      <c r="D96" s="51">
        <v>54</v>
      </c>
      <c r="E96" s="4">
        <f>VLOOKUP(A96,'IN-04-14'!$A$5:$D$441,4)</f>
        <v>67.43</v>
      </c>
      <c r="F96" s="69">
        <f>(D96*E96)</f>
        <v>3641.2200000000003</v>
      </c>
    </row>
    <row r="97" spans="1:6" ht="12.75">
      <c r="A97" s="82" t="s">
        <v>352</v>
      </c>
      <c r="D97" s="51"/>
      <c r="E97" s="4"/>
      <c r="F97" s="69"/>
    </row>
    <row r="98" spans="1:6" ht="12.75">
      <c r="A98" s="3" t="s">
        <v>1637</v>
      </c>
      <c r="B98" s="4" t="str">
        <f>VLOOKUP(A98,Insumos,2)</f>
        <v>canasta 1 (camión volcador)</v>
      </c>
      <c r="C98" s="6" t="str">
        <f>VLOOKUP(A98,Insumos,3)</f>
        <v>h</v>
      </c>
      <c r="D98" s="51">
        <v>0.2</v>
      </c>
      <c r="E98" s="4">
        <f>VLOOKUP(A98,'IN-04-14'!$A$5:$D$441,4)</f>
        <v>501.17</v>
      </c>
      <c r="F98" s="69">
        <f>(D98*E98)</f>
        <v>100.23400000000001</v>
      </c>
    </row>
    <row r="99" ht="13.5" thickBot="1"/>
    <row r="100" spans="1:7" ht="13.5" thickTop="1">
      <c r="A100" s="75" t="s">
        <v>346</v>
      </c>
      <c r="B100" s="221" t="s">
        <v>181</v>
      </c>
      <c r="C100" s="77" t="str">
        <f>Fecha</f>
        <v>abr-2014</v>
      </c>
      <c r="D100" s="48"/>
      <c r="E100" s="48"/>
      <c r="F100" s="222">
        <f>SUM(F102:F107)</f>
        <v>1802.2954080000004</v>
      </c>
      <c r="G100" s="41"/>
    </row>
    <row r="101" spans="1:7" ht="13.5" thickBot="1">
      <c r="A101" s="7" t="s">
        <v>345</v>
      </c>
      <c r="B101" s="7" t="s">
        <v>1717</v>
      </c>
      <c r="C101" s="78" t="s">
        <v>344</v>
      </c>
      <c r="D101" s="49" t="s">
        <v>19</v>
      </c>
      <c r="E101" s="50"/>
      <c r="F101" s="68"/>
      <c r="G101" s="42" t="s">
        <v>347</v>
      </c>
    </row>
    <row r="102" spans="1:6" ht="13.5" thickTop="1">
      <c r="A102" s="82" t="s">
        <v>350</v>
      </c>
      <c r="D102" s="51"/>
      <c r="E102" s="51"/>
      <c r="F102" s="69"/>
    </row>
    <row r="103" spans="1:6" ht="12.75">
      <c r="A103" s="3" t="s">
        <v>1672</v>
      </c>
      <c r="B103" s="4" t="str">
        <f>VLOOKUP(A103,'IN-04-14'!$A$5:$D$441,2)</f>
        <v>caño PVC 3.2 p/desague cloacal 0.110 x 4 m.</v>
      </c>
      <c r="C103" s="4" t="str">
        <f>VLOOKUP(A103,'IN-04-14'!$A$5:$D$441,3)</f>
        <v>m</v>
      </c>
      <c r="D103" s="51">
        <v>14.426</v>
      </c>
      <c r="E103" s="4">
        <f>VLOOKUP(A103,'IN-04-14'!$A$5:$D$441,4)</f>
        <v>57.758</v>
      </c>
      <c r="F103" s="69">
        <f>(D103*E103)</f>
        <v>833.2169080000001</v>
      </c>
    </row>
    <row r="104" spans="1:6" ht="12.75">
      <c r="A104" s="82" t="s">
        <v>351</v>
      </c>
      <c r="D104" s="51"/>
      <c r="E104" s="4"/>
      <c r="F104" s="69"/>
    </row>
    <row r="105" spans="1:6" ht="12.75">
      <c r="A105" s="3" t="s">
        <v>1668</v>
      </c>
      <c r="B105" s="4" t="str">
        <f>VLOOKUP(A105,Insumos,2)</f>
        <v>cuadrilla tipo U.G.A.T.S.</v>
      </c>
      <c r="C105" s="6" t="str">
        <f>VLOOKUP(A105,Insumos,3)</f>
        <v>h</v>
      </c>
      <c r="D105" s="51">
        <v>14</v>
      </c>
      <c r="E105" s="4">
        <f>VLOOKUP(A105,'IN-04-14'!$A$5:$D$441,4)</f>
        <v>67.43</v>
      </c>
      <c r="F105" s="69">
        <f>(D105*E105)</f>
        <v>944.0200000000001</v>
      </c>
    </row>
    <row r="106" spans="1:6" ht="12.75">
      <c r="A106" s="82" t="s">
        <v>352</v>
      </c>
      <c r="D106" s="51"/>
      <c r="E106" s="4"/>
      <c r="F106" s="69"/>
    </row>
    <row r="107" spans="1:6" ht="12.75">
      <c r="A107" s="3" t="s">
        <v>1637</v>
      </c>
      <c r="B107" s="4" t="str">
        <f>VLOOKUP(A107,Insumos,2)</f>
        <v>canasta 1 (camión volcador)</v>
      </c>
      <c r="C107" s="6" t="str">
        <f>VLOOKUP(A107,Insumos,3)</f>
        <v>h</v>
      </c>
      <c r="D107" s="51">
        <v>0.05</v>
      </c>
      <c r="E107" s="4">
        <f>VLOOKUP(A107,'IN-04-14'!$A$5:$D$441,4)</f>
        <v>501.17</v>
      </c>
      <c r="F107" s="69">
        <f>(D107*E107)</f>
        <v>25.058500000000002</v>
      </c>
    </row>
    <row r="108" ht="13.5" thickBot="1"/>
    <row r="109" spans="1:7" ht="13.5" thickTop="1">
      <c r="A109" s="75" t="s">
        <v>346</v>
      </c>
      <c r="B109" s="221" t="s">
        <v>329</v>
      </c>
      <c r="C109" s="77" t="str">
        <f>Fecha</f>
        <v>abr-2014</v>
      </c>
      <c r="D109" s="48"/>
      <c r="E109" s="48"/>
      <c r="F109" s="222">
        <f>SUM(F111:F119)</f>
        <v>11754.769300000002</v>
      </c>
      <c r="G109" s="41"/>
    </row>
    <row r="110" spans="1:7" ht="13.5" thickBot="1">
      <c r="A110" s="7" t="s">
        <v>345</v>
      </c>
      <c r="B110" s="7" t="s">
        <v>1717</v>
      </c>
      <c r="C110" s="78" t="s">
        <v>344</v>
      </c>
      <c r="D110" s="49" t="s">
        <v>330</v>
      </c>
      <c r="E110" s="50"/>
      <c r="F110" s="68"/>
      <c r="G110" s="42" t="s">
        <v>347</v>
      </c>
    </row>
    <row r="111" spans="1:6" ht="13.5" thickTop="1">
      <c r="A111" s="82" t="s">
        <v>350</v>
      </c>
      <c r="D111" s="51"/>
      <c r="E111" s="51"/>
      <c r="F111" s="69"/>
    </row>
    <row r="112" spans="1:6" ht="12.75">
      <c r="A112" s="3" t="s">
        <v>1672</v>
      </c>
      <c r="B112" s="4" t="str">
        <f>VLOOKUP(A112,'IN-04-14'!$A$5:$D$441,2)</f>
        <v>caño PVC 3.2 p/desague cloacal 0.110 x 4 m.</v>
      </c>
      <c r="C112" s="4" t="str">
        <f>VLOOKUP(A112,'IN-04-14'!$A$5:$D$441,3)</f>
        <v>m</v>
      </c>
      <c r="D112" s="51">
        <v>11.35</v>
      </c>
      <c r="E112" s="4">
        <f>VLOOKUP(A112,'IN-04-14'!$A$5:$D$441,4)</f>
        <v>57.758</v>
      </c>
      <c r="F112" s="69">
        <f>(D112*E112)</f>
        <v>655.5533</v>
      </c>
    </row>
    <row r="113" spans="1:6" ht="12.75">
      <c r="A113" s="3" t="s">
        <v>1639</v>
      </c>
      <c r="B113" s="4" t="str">
        <f>VLOOKUP(A113,Insumos,2)</f>
        <v>cemento Portland</v>
      </c>
      <c r="C113" s="6" t="str">
        <f>VLOOKUP(A113,Insumos,3)</f>
        <v>kg</v>
      </c>
      <c r="D113" s="51">
        <f>+D114*300</f>
        <v>1896</v>
      </c>
      <c r="E113" s="4">
        <f>VLOOKUP(A113,'IN-04-14'!$A$5:$D$441,4)</f>
        <v>1.65</v>
      </c>
      <c r="F113" s="69">
        <f>(D113*E113)</f>
        <v>3128.3999999999996</v>
      </c>
    </row>
    <row r="114" spans="1:6" ht="12.75">
      <c r="A114" s="3" t="s">
        <v>1651</v>
      </c>
      <c r="B114" s="4" t="str">
        <f>VLOOKUP(A114,Insumos,2)</f>
        <v>ripiosa</v>
      </c>
      <c r="C114" s="6" t="str">
        <f>VLOOKUP(A114,Insumos,3)</f>
        <v>m3</v>
      </c>
      <c r="D114" s="51">
        <f>1.05+4.86+0.41</f>
        <v>6.32</v>
      </c>
      <c r="E114" s="4">
        <f>VLOOKUP(A114,'IN-04-14'!$A$5:$D$441,4)</f>
        <v>142.07</v>
      </c>
      <c r="F114" s="69">
        <f>(D114*E114)</f>
        <v>897.8824</v>
      </c>
    </row>
    <row r="115" spans="1:6" ht="12.75">
      <c r="A115" s="3"/>
      <c r="B115" s="4"/>
      <c r="C115" s="6"/>
      <c r="D115" s="51"/>
      <c r="E115" s="4"/>
      <c r="F115" s="69"/>
    </row>
    <row r="116" spans="1:6" ht="12.75">
      <c r="A116" s="82" t="s">
        <v>351</v>
      </c>
      <c r="D116" s="51"/>
      <c r="E116" s="4"/>
      <c r="F116" s="69"/>
    </row>
    <row r="117" spans="1:6" ht="12.75">
      <c r="A117" s="3" t="s">
        <v>1668</v>
      </c>
      <c r="B117" s="4" t="str">
        <f>VLOOKUP(A117,Insumos,2)</f>
        <v>cuadrilla tipo U.G.A.T.S.</v>
      </c>
      <c r="C117" s="6" t="str">
        <f>VLOOKUP(A117,Insumos,3)</f>
        <v>h</v>
      </c>
      <c r="D117" s="51">
        <f>50+1+7.02+7.02+9.9+9.9+4.54+4.54+6+2</f>
        <v>101.92000000000002</v>
      </c>
      <c r="E117" s="4">
        <f>VLOOKUP(A117,'IN-04-14'!$A$5:$D$441,4)</f>
        <v>67.43</v>
      </c>
      <c r="F117" s="69">
        <f>(D117*E117)</f>
        <v>6872.465600000001</v>
      </c>
    </row>
    <row r="118" spans="1:6" ht="12.75">
      <c r="A118" s="82" t="s">
        <v>352</v>
      </c>
      <c r="D118" s="51"/>
      <c r="E118" s="4"/>
      <c r="F118" s="69"/>
    </row>
    <row r="119" spans="1:6" ht="12.75">
      <c r="A119" s="3" t="s">
        <v>1637</v>
      </c>
      <c r="B119" s="4" t="str">
        <f>VLOOKUP(A119,Insumos,2)</f>
        <v>canasta 1 (camión volcador)</v>
      </c>
      <c r="C119" s="6" t="str">
        <f>VLOOKUP(A119,Insumos,3)</f>
        <v>h</v>
      </c>
      <c r="D119" s="51">
        <v>0.4</v>
      </c>
      <c r="E119" s="4">
        <f>VLOOKUP(A119,'IN-04-14'!$A$5:$D$441,4)</f>
        <v>501.17</v>
      </c>
      <c r="F119" s="69">
        <f>(D119*E119)</f>
        <v>200.46800000000002</v>
      </c>
    </row>
    <row r="120" ht="13.5" thickBot="1"/>
    <row r="121" spans="1:7" ht="13.5" thickTop="1">
      <c r="A121" s="75" t="s">
        <v>346</v>
      </c>
      <c r="B121" s="221" t="s">
        <v>360</v>
      </c>
      <c r="C121" s="77" t="str">
        <f>Fecha</f>
        <v>abr-2014</v>
      </c>
      <c r="D121" s="48"/>
      <c r="E121" s="48"/>
      <c r="F121" s="222">
        <f>SUM(F123:F131)</f>
        <v>20919.084425100005</v>
      </c>
      <c r="G121" s="41"/>
    </row>
    <row r="122" spans="1:7" ht="13.5" thickBot="1">
      <c r="A122" s="7" t="s">
        <v>345</v>
      </c>
      <c r="B122" s="7" t="s">
        <v>1717</v>
      </c>
      <c r="C122" s="78" t="s">
        <v>344</v>
      </c>
      <c r="D122" s="49" t="s">
        <v>361</v>
      </c>
      <c r="E122" s="50"/>
      <c r="F122" s="68"/>
      <c r="G122" s="42" t="s">
        <v>347</v>
      </c>
    </row>
    <row r="123" spans="1:6" ht="13.5" thickTop="1">
      <c r="A123" s="82" t="s">
        <v>350</v>
      </c>
      <c r="D123" s="51"/>
      <c r="E123" s="51"/>
      <c r="F123" s="69"/>
    </row>
    <row r="124" spans="1:6" ht="12.75">
      <c r="A124" s="3" t="s">
        <v>1672</v>
      </c>
      <c r="B124" s="4" t="str">
        <f>VLOOKUP(A124,'IN-04-14'!$A$5:$D$441,2)</f>
        <v>caño PVC 3.2 p/desague cloacal 0.110 x 4 m.</v>
      </c>
      <c r="C124" s="4" t="str">
        <f>VLOOKUP(A124,'IN-04-14'!$A$5:$D$441,3)</f>
        <v>m</v>
      </c>
      <c r="D124" s="51">
        <v>115.52</v>
      </c>
      <c r="E124" s="4">
        <f>VLOOKUP(A124,'IN-04-14'!$A$5:$D$441,4)</f>
        <v>57.758</v>
      </c>
      <c r="F124" s="69">
        <f>(D124*E124)</f>
        <v>6672.20416</v>
      </c>
    </row>
    <row r="125" spans="1:6" ht="12.75">
      <c r="A125" s="3" t="s">
        <v>1888</v>
      </c>
      <c r="B125" s="4" t="str">
        <f>VLOOKUP(A125,'IN-04-14'!$A$5:$D$441,2)</f>
        <v>caño PVC 3.2 p/desague cloacal 0.060 x 4 m.</v>
      </c>
      <c r="C125" s="4" t="str">
        <f>VLOOKUP(A125,'IN-04-14'!$A$5:$D$441,3)</f>
        <v>m</v>
      </c>
      <c r="D125" s="51">
        <v>22.387</v>
      </c>
      <c r="E125" s="4">
        <f>VLOOKUP(A125,'IN-04-14'!$A$5:$D$441,4)</f>
        <v>45.5933</v>
      </c>
      <c r="F125" s="69">
        <f>(D125*E125)</f>
        <v>1020.6972071</v>
      </c>
    </row>
    <row r="126" spans="1:6" ht="12.75">
      <c r="A126" s="3" t="s">
        <v>1889</v>
      </c>
      <c r="B126" s="4" t="str">
        <f>VLOOKUP(A126,'IN-04-14'!$A$5:$D$441,2)</f>
        <v>ramal Y PVC 0.110x0.63</v>
      </c>
      <c r="C126" s="4" t="str">
        <f>VLOOKUP(A126,'IN-04-14'!$A$5:$D$441,3)</f>
        <v>u</v>
      </c>
      <c r="D126" s="51">
        <v>147.78</v>
      </c>
      <c r="E126" s="4">
        <f>VLOOKUP(A126,'IN-04-14'!$A$5:$D$441,4)</f>
        <v>30.2016</v>
      </c>
      <c r="F126" s="69">
        <f>(D126*E126)</f>
        <v>4463.192448</v>
      </c>
    </row>
    <row r="127" spans="1:6" ht="12.75">
      <c r="A127" s="3" t="s">
        <v>1639</v>
      </c>
      <c r="B127" s="4" t="str">
        <f>VLOOKUP(A127,Insumos,2)</f>
        <v>cemento Portland</v>
      </c>
      <c r="C127" s="6" t="str">
        <f>VLOOKUP(A127,Insumos,3)</f>
        <v>kg</v>
      </c>
      <c r="D127" s="51">
        <v>62.927</v>
      </c>
      <c r="E127" s="4">
        <f>VLOOKUP(A127,'IN-04-14'!$A$5:$D$441,4)</f>
        <v>1.65</v>
      </c>
      <c r="F127" s="69">
        <f>(D127*E127)</f>
        <v>103.82955</v>
      </c>
    </row>
    <row r="128" spans="1:6" ht="12.75">
      <c r="A128" s="82" t="s">
        <v>351</v>
      </c>
      <c r="D128" s="51"/>
      <c r="E128" s="4"/>
      <c r="F128" s="69"/>
    </row>
    <row r="129" spans="1:6" ht="12.75">
      <c r="A129" s="3" t="s">
        <v>1668</v>
      </c>
      <c r="B129" s="4" t="str">
        <f>VLOOKUP(A129,Insumos,2)</f>
        <v>cuadrilla tipo U.G.A.T.S.</v>
      </c>
      <c r="C129" s="6" t="str">
        <f>VLOOKUP(A129,Insumos,3)</f>
        <v>h</v>
      </c>
      <c r="D129" s="51">
        <v>122.04</v>
      </c>
      <c r="E129" s="4">
        <f>VLOOKUP(A129,'IN-04-14'!$A$5:$D$441,4)</f>
        <v>67.43</v>
      </c>
      <c r="F129" s="69">
        <f>(D129*E129)</f>
        <v>8229.157200000001</v>
      </c>
    </row>
    <row r="130" spans="1:6" ht="12.75">
      <c r="A130" s="82" t="s">
        <v>352</v>
      </c>
      <c r="D130" s="51"/>
      <c r="E130" s="4"/>
      <c r="F130" s="69"/>
    </row>
    <row r="131" spans="1:6" ht="12.75">
      <c r="A131" s="3" t="s">
        <v>1637</v>
      </c>
      <c r="B131" s="4" t="str">
        <f>VLOOKUP(A131,Insumos,2)</f>
        <v>canasta 1 (camión volcador)</v>
      </c>
      <c r="C131" s="6" t="str">
        <f>VLOOKUP(A131,Insumos,3)</f>
        <v>h</v>
      </c>
      <c r="D131" s="51">
        <v>0.858</v>
      </c>
      <c r="E131" s="4">
        <f>VLOOKUP(A131,'IN-04-14'!$A$5:$D$441,4)</f>
        <v>501.17</v>
      </c>
      <c r="F131" s="69">
        <f>(D131*E131)</f>
        <v>430.00386000000003</v>
      </c>
    </row>
    <row r="231" ht="12.75">
      <c r="H231" s="88">
        <v>100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8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I129"/>
  <sheetViews>
    <sheetView showGridLines="0" zoomScale="90" zoomScaleNormal="90" zoomScaleSheetLayoutView="75" zoomScalePageLayoutView="0" workbookViewId="0" topLeftCell="A36">
      <selection activeCell="E74" sqref="E7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221" t="s">
        <v>1719</v>
      </c>
      <c r="C2" s="77" t="str">
        <f>Fecha</f>
        <v>abr-2014</v>
      </c>
      <c r="D2" s="48"/>
      <c r="E2" s="48"/>
      <c r="F2" s="222">
        <f>SUM(F4:F13)</f>
        <v>5158.493469000001</v>
      </c>
      <c r="G2" s="41"/>
    </row>
    <row r="3" spans="1:7" ht="13.5" thickBot="1">
      <c r="A3" s="7" t="s">
        <v>345</v>
      </c>
      <c r="B3" s="7" t="s">
        <v>1718</v>
      </c>
      <c r="C3" s="78" t="s">
        <v>344</v>
      </c>
      <c r="D3" s="49" t="s">
        <v>1908</v>
      </c>
      <c r="E3" s="50"/>
      <c r="F3" s="68"/>
      <c r="G3" s="42" t="s">
        <v>347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1675</v>
      </c>
      <c r="B5" s="4" t="str">
        <f>VLOOKUP(A5,Insumos,2)</f>
        <v>caño de chapa galvanizada</v>
      </c>
      <c r="C5" s="6" t="str">
        <f>VLOOKUP(A5,Insumos,3)</f>
        <v>m</v>
      </c>
      <c r="D5" s="51">
        <v>5.77</v>
      </c>
      <c r="E5" s="51">
        <f>VLOOKUP(A5,'IN-04-14'!A6:D880,4)</f>
        <v>41.25</v>
      </c>
      <c r="F5" s="69">
        <f>(D5*E5)</f>
        <v>238.0125</v>
      </c>
    </row>
    <row r="6" spans="1:6" ht="12.75">
      <c r="A6" s="3" t="s">
        <v>1770</v>
      </c>
      <c r="B6" s="4" t="str">
        <f>VLOOKUP(A6,Insumos,2)</f>
        <v>codo epoxi 19 mm</v>
      </c>
      <c r="C6" s="6" t="str">
        <f>VLOOKUP(A6,Insumos,3)</f>
        <v>u</v>
      </c>
      <c r="D6" s="51">
        <v>29.54</v>
      </c>
      <c r="E6" s="51">
        <f>VLOOKUP(A6,'IN-04-14'!A7:D881,4)</f>
        <v>10.7867</v>
      </c>
      <c r="F6" s="69">
        <f>(D6*E6)</f>
        <v>318.639118</v>
      </c>
    </row>
    <row r="7" spans="1:6" ht="12.75">
      <c r="A7" s="3" t="s">
        <v>1769</v>
      </c>
      <c r="B7" s="4" t="str">
        <f>VLOOKUP(A7,Insumos,2)</f>
        <v>caño extruído 19 mm</v>
      </c>
      <c r="C7" s="6" t="str">
        <f>VLOOKUP(A7,Insumos,3)</f>
        <v>m</v>
      </c>
      <c r="D7" s="51">
        <v>18.6</v>
      </c>
      <c r="E7" s="51">
        <f>VLOOKUP(A7,'IN-04-14'!A8:D882,4)</f>
        <v>34.81</v>
      </c>
      <c r="F7" s="69">
        <f>(D7*E7)</f>
        <v>647.4660000000001</v>
      </c>
    </row>
    <row r="8" spans="1:6" ht="12.75">
      <c r="A8" s="3" t="s">
        <v>1673</v>
      </c>
      <c r="B8" s="4" t="str">
        <f>VLOOKUP(A8,Insumos,2)</f>
        <v>llave p/gas cromada 1/2"</v>
      </c>
      <c r="C8" s="6" t="str">
        <f>VLOOKUP(A8,Insumos,3)</f>
        <v>u</v>
      </c>
      <c r="D8" s="51">
        <v>3.33</v>
      </c>
      <c r="E8" s="51">
        <f>VLOOKUP(A8,'IN-04-14'!A9:D883,4)</f>
        <v>146.5947</v>
      </c>
      <c r="F8" s="69">
        <f>(D8*E8)</f>
        <v>488.160351</v>
      </c>
    </row>
    <row r="9" spans="1:6" ht="12.75">
      <c r="A9" s="3" t="s">
        <v>146</v>
      </c>
      <c r="B9" s="4" t="str">
        <f>VLOOKUP(A9,Insumos,2)</f>
        <v>gabinete medidor gas</v>
      </c>
      <c r="C9" s="6" t="str">
        <f>VLOOKUP(A9,Insumos,3)</f>
        <v>u</v>
      </c>
      <c r="D9" s="51">
        <v>1</v>
      </c>
      <c r="E9" s="51">
        <f>VLOOKUP(A9,'IN-04-14'!A10:D884,4)</f>
        <v>289.26</v>
      </c>
      <c r="F9" s="69">
        <f>(D9*E9)</f>
        <v>289.26</v>
      </c>
    </row>
    <row r="10" spans="1:6" ht="12.75">
      <c r="A10" s="82" t="s">
        <v>351</v>
      </c>
      <c r="D10" s="51"/>
      <c r="E10" s="51"/>
      <c r="F10" s="69"/>
    </row>
    <row r="11" spans="1:6" ht="12.75">
      <c r="A11" s="3" t="s">
        <v>1668</v>
      </c>
      <c r="B11" s="4" t="str">
        <f>VLOOKUP(A11,Insumos,2)</f>
        <v>cuadrilla tipo U.G.A.T.S.</v>
      </c>
      <c r="C11" s="6" t="str">
        <f>VLOOKUP(A11,Insumos,3)</f>
        <v>h</v>
      </c>
      <c r="D11" s="51">
        <v>46</v>
      </c>
      <c r="E11" s="51">
        <f>VLOOKUP(A11,'IN-04-14'!A12:D886,4)</f>
        <v>67.43</v>
      </c>
      <c r="F11" s="69">
        <f>(D11*E11)</f>
        <v>3101.78</v>
      </c>
    </row>
    <row r="12" spans="1:6" ht="12.75">
      <c r="A12" s="82" t="s">
        <v>352</v>
      </c>
      <c r="D12" s="51"/>
      <c r="E12" s="51"/>
      <c r="F12" s="69"/>
    </row>
    <row r="13" spans="1:6" ht="12.75">
      <c r="A13" s="3" t="s">
        <v>1637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VLOOKUP(A13,'IN-04-14'!A14:D888,4)</f>
        <v>501.17</v>
      </c>
      <c r="F13" s="69">
        <f>(D13*E13)</f>
        <v>75.1755</v>
      </c>
    </row>
    <row r="14" ht="13.5" thickBot="1"/>
    <row r="15" spans="1:7" ht="13.5" thickTop="1">
      <c r="A15" s="75" t="s">
        <v>346</v>
      </c>
      <c r="B15" s="221" t="s">
        <v>1844</v>
      </c>
      <c r="C15" s="77" t="str">
        <f>Fecha</f>
        <v>abr-2014</v>
      </c>
      <c r="D15" s="48"/>
      <c r="E15" s="48"/>
      <c r="F15" s="222">
        <f>SUM(F17:F28)</f>
        <v>6000.393041</v>
      </c>
      <c r="G15" s="41"/>
    </row>
    <row r="16" spans="1:7" ht="13.5" thickBot="1">
      <c r="A16" s="7" t="s">
        <v>345</v>
      </c>
      <c r="B16" s="7" t="s">
        <v>1718</v>
      </c>
      <c r="C16" s="78" t="s">
        <v>344</v>
      </c>
      <c r="D16" s="49" t="s">
        <v>1917</v>
      </c>
      <c r="E16" s="50"/>
      <c r="F16" s="68"/>
      <c r="G16" s="42" t="s">
        <v>347</v>
      </c>
    </row>
    <row r="17" spans="1:6" ht="13.5" thickTop="1">
      <c r="A17" s="82" t="s">
        <v>350</v>
      </c>
      <c r="D17" s="51"/>
      <c r="E17" s="51"/>
      <c r="F17" s="69"/>
    </row>
    <row r="18" spans="1:6" ht="12.75">
      <c r="A18" s="3" t="s">
        <v>1890</v>
      </c>
      <c r="B18" s="4" t="str">
        <f aca="true" t="shared" si="0" ref="B18:B24">VLOOKUP(A18,Insumos,2)</f>
        <v>componentes epoxi x 1/4lt.</v>
      </c>
      <c r="C18" s="6" t="str">
        <f aca="true" t="shared" si="1" ref="C18:C24">VLOOKUP(A18,Insumos,3)</f>
        <v>u</v>
      </c>
      <c r="D18" s="51">
        <v>4.8</v>
      </c>
      <c r="E18" s="51">
        <f>VLOOKUP(A18,'IN-04-14'!A19:D893,4)</f>
        <v>71.5818</v>
      </c>
      <c r="F18" s="69">
        <f aca="true" t="shared" si="2" ref="F18:F24">(D18*E18)</f>
        <v>343.59264</v>
      </c>
    </row>
    <row r="19" spans="1:6" ht="12.75">
      <c r="A19" s="3" t="s">
        <v>1770</v>
      </c>
      <c r="B19" s="4" t="str">
        <f t="shared" si="0"/>
        <v>codo epoxi 19 mm</v>
      </c>
      <c r="C19" s="6" t="str">
        <f t="shared" si="1"/>
        <v>u</v>
      </c>
      <c r="D19" s="51">
        <v>28.5</v>
      </c>
      <c r="E19" s="51">
        <f>VLOOKUP(A19,'IN-04-14'!A20:D894,4)</f>
        <v>10.7867</v>
      </c>
      <c r="F19" s="69">
        <f t="shared" si="2"/>
        <v>307.42095</v>
      </c>
    </row>
    <row r="20" spans="1:6" ht="12.75">
      <c r="A20" s="3" t="s">
        <v>1769</v>
      </c>
      <c r="B20" s="4" t="str">
        <f t="shared" si="0"/>
        <v>caño extruído 19 mm</v>
      </c>
      <c r="C20" s="6" t="str">
        <f t="shared" si="1"/>
        <v>m</v>
      </c>
      <c r="D20" s="51">
        <v>25.6</v>
      </c>
      <c r="E20" s="51">
        <f>VLOOKUP(A20,'IN-04-14'!A21:D895,4)</f>
        <v>34.81</v>
      </c>
      <c r="F20" s="69">
        <f t="shared" si="2"/>
        <v>891.1360000000001</v>
      </c>
    </row>
    <row r="21" spans="1:6" ht="12.75">
      <c r="A21" s="3" t="s">
        <v>1674</v>
      </c>
      <c r="B21" s="4" t="str">
        <f t="shared" si="0"/>
        <v>regulador y flexible p/gas natural</v>
      </c>
      <c r="C21" s="6" t="str">
        <f t="shared" si="1"/>
        <v>u</v>
      </c>
      <c r="D21" s="51">
        <v>1</v>
      </c>
      <c r="E21" s="51">
        <f>VLOOKUP(A21,'IN-04-14'!A22:D896,4)</f>
        <v>250.82</v>
      </c>
      <c r="F21" s="69">
        <f t="shared" si="2"/>
        <v>250.82</v>
      </c>
    </row>
    <row r="22" spans="1:6" ht="12.75">
      <c r="A22" s="3" t="s">
        <v>146</v>
      </c>
      <c r="B22" s="4" t="str">
        <f t="shared" si="0"/>
        <v>gabinete medidor gas</v>
      </c>
      <c r="C22" s="6" t="str">
        <f t="shared" si="1"/>
        <v>u</v>
      </c>
      <c r="D22" s="51">
        <v>1</v>
      </c>
      <c r="E22" s="51">
        <f>VLOOKUP(A22,'IN-04-14'!A23:D897,4)</f>
        <v>289.26</v>
      </c>
      <c r="F22" s="69">
        <f t="shared" si="2"/>
        <v>289.26</v>
      </c>
    </row>
    <row r="23" spans="1:6" ht="12.75">
      <c r="A23" s="3" t="s">
        <v>1673</v>
      </c>
      <c r="B23" s="4" t="str">
        <f t="shared" si="0"/>
        <v>llave p/gas cromada 1/2"</v>
      </c>
      <c r="C23" s="6" t="str">
        <f t="shared" si="1"/>
        <v>u</v>
      </c>
      <c r="D23" s="51">
        <v>3.33</v>
      </c>
      <c r="E23" s="51">
        <f>VLOOKUP(A23,'IN-04-14'!A24:D898,4)</f>
        <v>146.5947</v>
      </c>
      <c r="F23" s="69">
        <f t="shared" si="2"/>
        <v>488.160351</v>
      </c>
    </row>
    <row r="24" spans="1:6" ht="12.75">
      <c r="A24" s="3" t="s">
        <v>1675</v>
      </c>
      <c r="B24" s="4" t="str">
        <f t="shared" si="0"/>
        <v>caño de chapa galvanizada</v>
      </c>
      <c r="C24" s="6" t="str">
        <f t="shared" si="1"/>
        <v>m</v>
      </c>
      <c r="D24" s="51">
        <v>5.77</v>
      </c>
      <c r="E24" s="51">
        <f>VLOOKUP(A24,'IN-04-14'!A25:D899,4)</f>
        <v>41.25</v>
      </c>
      <c r="F24" s="69">
        <f t="shared" si="2"/>
        <v>238.0125</v>
      </c>
    </row>
    <row r="25" spans="1:6" ht="12.75">
      <c r="A25" s="82" t="s">
        <v>351</v>
      </c>
      <c r="D25" s="51"/>
      <c r="E25" s="51"/>
      <c r="F25" s="69"/>
    </row>
    <row r="26" spans="1:6" ht="12.75">
      <c r="A26" s="3" t="s">
        <v>1668</v>
      </c>
      <c r="B26" s="4" t="str">
        <f>VLOOKUP(A26,Insumos,2)</f>
        <v>cuadrilla tipo U.G.A.T.S.</v>
      </c>
      <c r="C26" s="6" t="str">
        <f>VLOOKUP(A26,Insumos,3)</f>
        <v>h</v>
      </c>
      <c r="D26" s="51">
        <v>46</v>
      </c>
      <c r="E26" s="51">
        <f>VLOOKUP(A26,'IN-04-14'!A27:D901,4)</f>
        <v>67.43</v>
      </c>
      <c r="F26" s="69">
        <f>(D26*E26)</f>
        <v>3101.78</v>
      </c>
    </row>
    <row r="27" spans="1:6" ht="12.75">
      <c r="A27" s="82" t="s">
        <v>352</v>
      </c>
      <c r="D27" s="51"/>
      <c r="E27" s="51"/>
      <c r="F27" s="69"/>
    </row>
    <row r="28" spans="1:6" ht="12.75">
      <c r="A28" s="3" t="s">
        <v>1637</v>
      </c>
      <c r="B28" s="4" t="str">
        <f>VLOOKUP(A28,Insumos,2)</f>
        <v>canasta 1 (camión volcador)</v>
      </c>
      <c r="C28" s="6" t="str">
        <f>VLOOKUP(A28,Insumos,3)</f>
        <v>h</v>
      </c>
      <c r="D28" s="51">
        <v>0.18</v>
      </c>
      <c r="E28" s="51">
        <f>VLOOKUP(A28,'IN-04-14'!A29:D903,4)</f>
        <v>501.17</v>
      </c>
      <c r="F28" s="69">
        <f>(D28*E28)</f>
        <v>90.2106</v>
      </c>
    </row>
    <row r="29" ht="13.5" thickBot="1"/>
    <row r="30" spans="1:7" ht="13.5" thickTop="1">
      <c r="A30" s="75" t="s">
        <v>346</v>
      </c>
      <c r="B30" s="221" t="s">
        <v>1720</v>
      </c>
      <c r="C30" s="77" t="str">
        <f>Fecha</f>
        <v>abr-2014</v>
      </c>
      <c r="D30" s="48"/>
      <c r="E30" s="48"/>
      <c r="F30" s="222">
        <f>SUM(F32:F42)</f>
        <v>88405.94108240001</v>
      </c>
      <c r="G30" s="41"/>
    </row>
    <row r="31" spans="1:7" ht="13.5" thickBot="1">
      <c r="A31" s="7" t="s">
        <v>345</v>
      </c>
      <c r="B31" s="7" t="s">
        <v>1718</v>
      </c>
      <c r="C31" s="78" t="s">
        <v>344</v>
      </c>
      <c r="D31" s="49" t="s">
        <v>1771</v>
      </c>
      <c r="E31" s="50"/>
      <c r="F31" s="68"/>
      <c r="G31" s="42" t="s">
        <v>347</v>
      </c>
    </row>
    <row r="32" spans="1:6" ht="13.5" thickTop="1">
      <c r="A32" s="82" t="s">
        <v>350</v>
      </c>
      <c r="D32" s="51"/>
      <c r="E32" s="51"/>
      <c r="F32" s="69"/>
    </row>
    <row r="33" spans="1:6" ht="12.75">
      <c r="A33" s="3" t="s">
        <v>1675</v>
      </c>
      <c r="B33" s="4" t="str">
        <f aca="true" t="shared" si="3" ref="B33:B38">VLOOKUP(A33,Insumos,2)</f>
        <v>caño de chapa galvanizada</v>
      </c>
      <c r="C33" s="6" t="str">
        <f aca="true" t="shared" si="4" ref="C33:C38">VLOOKUP(A33,Insumos,3)</f>
        <v>m</v>
      </c>
      <c r="D33" s="51">
        <v>103.441</v>
      </c>
      <c r="E33" s="51">
        <f>VLOOKUP(A33,'IN-04-14'!A34:D908,4)</f>
        <v>41.25</v>
      </c>
      <c r="F33" s="69">
        <f aca="true" t="shared" si="5" ref="F33:F38">(D33*E33)</f>
        <v>4266.94125</v>
      </c>
    </row>
    <row r="34" spans="1:6" ht="12.75">
      <c r="A34" s="3" t="s">
        <v>1770</v>
      </c>
      <c r="B34" s="4" t="str">
        <f t="shared" si="3"/>
        <v>codo epoxi 19 mm</v>
      </c>
      <c r="C34" s="6" t="str">
        <f t="shared" si="4"/>
        <v>u</v>
      </c>
      <c r="D34" s="51">
        <v>367.221</v>
      </c>
      <c r="E34" s="51">
        <f>VLOOKUP(A34,'IN-04-14'!A35:D909,4)</f>
        <v>10.7867</v>
      </c>
      <c r="F34" s="69">
        <f t="shared" si="5"/>
        <v>3961.1027607</v>
      </c>
    </row>
    <row r="35" spans="1:6" ht="12.75">
      <c r="A35" s="3" t="s">
        <v>1769</v>
      </c>
      <c r="B35" s="4" t="str">
        <f t="shared" si="3"/>
        <v>caño extruído 19 mm</v>
      </c>
      <c r="C35" s="6" t="str">
        <f t="shared" si="4"/>
        <v>m</v>
      </c>
      <c r="D35" s="51">
        <v>324.371</v>
      </c>
      <c r="E35" s="51">
        <f>VLOOKUP(A35,'IN-04-14'!A36:D910,4)</f>
        <v>34.81</v>
      </c>
      <c r="F35" s="69">
        <f t="shared" si="5"/>
        <v>11291.35451</v>
      </c>
    </row>
    <row r="36" spans="1:6" ht="12.75">
      <c r="A36" s="3" t="s">
        <v>1673</v>
      </c>
      <c r="B36" s="4" t="str">
        <f t="shared" si="3"/>
        <v>llave p/gas cromada 1/2"</v>
      </c>
      <c r="C36" s="6" t="str">
        <f t="shared" si="4"/>
        <v>u</v>
      </c>
      <c r="D36" s="51">
        <v>156.193</v>
      </c>
      <c r="E36" s="51">
        <f>VLOOKUP(A36,'IN-04-14'!A37:D911,4)</f>
        <v>146.5947</v>
      </c>
      <c r="F36" s="69">
        <f t="shared" si="5"/>
        <v>22897.0659771</v>
      </c>
    </row>
    <row r="37" spans="1:6" ht="12.75">
      <c r="A37" s="3" t="s">
        <v>1890</v>
      </c>
      <c r="B37" s="4" t="str">
        <f t="shared" si="3"/>
        <v>componentes epoxi x 1/4lt.</v>
      </c>
      <c r="C37" s="6" t="str">
        <f t="shared" si="4"/>
        <v>u</v>
      </c>
      <c r="D37" s="51">
        <v>70.497</v>
      </c>
      <c r="E37" s="51">
        <f>VLOOKUP(A37,'IN-04-14'!A38:D912,4)</f>
        <v>71.5818</v>
      </c>
      <c r="F37" s="69">
        <f t="shared" si="5"/>
        <v>5046.3021546</v>
      </c>
    </row>
    <row r="38" spans="1:6" ht="12.75">
      <c r="A38" s="3" t="s">
        <v>146</v>
      </c>
      <c r="B38" s="4" t="str">
        <f t="shared" si="3"/>
        <v>gabinete medidor gas</v>
      </c>
      <c r="C38" s="6" t="str">
        <f t="shared" si="4"/>
        <v>u</v>
      </c>
      <c r="D38" s="51">
        <v>9.464</v>
      </c>
      <c r="E38" s="51">
        <f>VLOOKUP(A38,'IN-04-14'!A39:D913,4)</f>
        <v>289.26</v>
      </c>
      <c r="F38" s="69">
        <f t="shared" si="5"/>
        <v>2737.5566400000002</v>
      </c>
    </row>
    <row r="39" spans="1:6" ht="12.75">
      <c r="A39" s="82" t="s">
        <v>351</v>
      </c>
      <c r="D39" s="51"/>
      <c r="E39" s="51"/>
      <c r="F39" s="69"/>
    </row>
    <row r="40" spans="1:6" ht="12.75">
      <c r="A40" s="3" t="s">
        <v>1668</v>
      </c>
      <c r="B40" s="4" t="str">
        <f>VLOOKUP(A40,Insumos,2)</f>
        <v>cuadrilla tipo U.G.A.T.S.</v>
      </c>
      <c r="C40" s="6" t="str">
        <f>VLOOKUP(A40,Insumos,3)</f>
        <v>h</v>
      </c>
      <c r="D40" s="51">
        <v>539.446</v>
      </c>
      <c r="E40" s="51">
        <f>VLOOKUP(A40,'IN-04-14'!A41:D915,4)</f>
        <v>67.43</v>
      </c>
      <c r="F40" s="69">
        <f>(D40*E40)</f>
        <v>36374.84378</v>
      </c>
    </row>
    <row r="41" spans="1:6" ht="12.75">
      <c r="A41" s="82" t="s">
        <v>352</v>
      </c>
      <c r="D41" s="51"/>
      <c r="E41" s="51"/>
      <c r="F41" s="69"/>
    </row>
    <row r="42" spans="1:6" ht="12.75">
      <c r="A42" s="3" t="s">
        <v>1637</v>
      </c>
      <c r="B42" s="4" t="str">
        <f>VLOOKUP(A42,Insumos,2)</f>
        <v>canasta 1 (camión volcador)</v>
      </c>
      <c r="C42" s="6" t="str">
        <f>VLOOKUP(A42,Insumos,3)</f>
        <v>h</v>
      </c>
      <c r="D42" s="51">
        <v>3.653</v>
      </c>
      <c r="E42" s="51">
        <f>VLOOKUP(A42,'IN-04-14'!A43:D917,4)</f>
        <v>501.17</v>
      </c>
      <c r="F42" s="69">
        <f>(D42*E42)</f>
        <v>1830.77401</v>
      </c>
    </row>
    <row r="43" ht="13.5" thickBot="1"/>
    <row r="44" spans="1:7" ht="13.5" thickTop="1">
      <c r="A44" s="75" t="s">
        <v>346</v>
      </c>
      <c r="B44" s="221" t="s">
        <v>1721</v>
      </c>
      <c r="C44" s="77" t="str">
        <f>Fecha</f>
        <v>abr-2014</v>
      </c>
      <c r="D44" s="48"/>
      <c r="E44" s="48"/>
      <c r="F44" s="222">
        <f>SUM(F46:F53)</f>
        <v>5560.4394</v>
      </c>
      <c r="G44" s="41"/>
    </row>
    <row r="45" spans="1:7" ht="13.5" thickBot="1">
      <c r="A45" s="7" t="s">
        <v>345</v>
      </c>
      <c r="B45" s="7" t="s">
        <v>1722</v>
      </c>
      <c r="C45" s="78" t="s">
        <v>344</v>
      </c>
      <c r="D45" s="49" t="s">
        <v>1754</v>
      </c>
      <c r="E45" s="50"/>
      <c r="F45" s="68"/>
      <c r="G45" s="42" t="s">
        <v>347</v>
      </c>
    </row>
    <row r="46" spans="1:6" ht="13.5" thickTop="1">
      <c r="A46" s="82" t="s">
        <v>350</v>
      </c>
      <c r="D46" s="51"/>
      <c r="E46" s="51"/>
      <c r="F46" s="69"/>
    </row>
    <row r="47" spans="1:6" ht="12.75">
      <c r="A47" s="3" t="s">
        <v>1676</v>
      </c>
      <c r="B47" s="4" t="str">
        <f>VLOOKUP(A47,Insumos,2)</f>
        <v>cocina 4 hornallas</v>
      </c>
      <c r="C47" s="6" t="str">
        <f>VLOOKUP(A47,Insumos,3)</f>
        <v>u</v>
      </c>
      <c r="D47" s="51">
        <v>1</v>
      </c>
      <c r="E47" s="51">
        <f>VLOOKUP(A47,'IN-04-14'!A48:D922,4)</f>
        <v>1879.34</v>
      </c>
      <c r="F47" s="69">
        <f>(D47*E47)</f>
        <v>1879.34</v>
      </c>
    </row>
    <row r="48" spans="1:6" ht="12.75">
      <c r="A48" s="3" t="s">
        <v>1677</v>
      </c>
      <c r="B48" s="4" t="str">
        <f>VLOOKUP(A48,Insumos,2)</f>
        <v>calefón 14 litros blanco</v>
      </c>
      <c r="C48" s="6" t="str">
        <f>VLOOKUP(A48,Insumos,3)</f>
        <v>u</v>
      </c>
      <c r="D48" s="51">
        <v>1</v>
      </c>
      <c r="E48" s="51">
        <f>VLOOKUP(A48,'IN-04-14'!A49:D923,4)</f>
        <v>1768.595</v>
      </c>
      <c r="F48" s="69">
        <f>(D48*E48)</f>
        <v>1768.595</v>
      </c>
    </row>
    <row r="49" spans="1:6" ht="12.75">
      <c r="A49" s="3" t="s">
        <v>1678</v>
      </c>
      <c r="B49" s="4" t="str">
        <f>VLOOKUP(A49,Insumos,2)</f>
        <v>calefactor TB 3800 calorias</v>
      </c>
      <c r="C49" s="6" t="str">
        <f>VLOOKUP(A49,Insumos,3)</f>
        <v>u</v>
      </c>
      <c r="D49" s="51">
        <v>1</v>
      </c>
      <c r="E49" s="51">
        <f>VLOOKUP(A49,'IN-04-14'!A50:D924,4)</f>
        <v>1005.37</v>
      </c>
      <c r="F49" s="69">
        <f>(D49*E49)</f>
        <v>1005.37</v>
      </c>
    </row>
    <row r="50" spans="1:6" ht="12.75">
      <c r="A50" s="82" t="s">
        <v>351</v>
      </c>
      <c r="D50" s="51"/>
      <c r="E50" s="51"/>
      <c r="F50" s="69"/>
    </row>
    <row r="51" spans="1:6" ht="12.75">
      <c r="A51" s="3" t="s">
        <v>1668</v>
      </c>
      <c r="B51" s="4" t="str">
        <f>VLOOKUP(A51,Insumos,2)</f>
        <v>cuadrilla tipo U.G.A.T.S.</v>
      </c>
      <c r="C51" s="6" t="str">
        <f>VLOOKUP(A51,Insumos,3)</f>
        <v>h</v>
      </c>
      <c r="D51" s="51">
        <v>10.48</v>
      </c>
      <c r="E51" s="51">
        <f>VLOOKUP(A51,'IN-04-14'!A52:D926,4)</f>
        <v>67.43</v>
      </c>
      <c r="F51" s="69">
        <f>(D51*E51)</f>
        <v>706.6664000000001</v>
      </c>
    </row>
    <row r="52" spans="1:6" ht="12.75">
      <c r="A52" s="82" t="s">
        <v>352</v>
      </c>
      <c r="D52" s="51"/>
      <c r="E52" s="51"/>
      <c r="F52" s="69"/>
    </row>
    <row r="53" spans="1:6" ht="12.75">
      <c r="A53" s="3" t="s">
        <v>1637</v>
      </c>
      <c r="B53" s="4" t="str">
        <f>VLOOKUP(A53,Insumos,2)</f>
        <v>canasta 1 (camión volcador)</v>
      </c>
      <c r="C53" s="6" t="str">
        <f>VLOOKUP(A53,Insumos,3)</f>
        <v>h</v>
      </c>
      <c r="D53" s="51">
        <v>0.4</v>
      </c>
      <c r="E53" s="51">
        <f>VLOOKUP(A53,'IN-04-14'!A54:D928,4)</f>
        <v>501.17</v>
      </c>
      <c r="F53" s="69">
        <f>(D53*E53)</f>
        <v>200.46800000000002</v>
      </c>
    </row>
    <row r="55" ht="13.5" thickBot="1"/>
    <row r="56" spans="1:7" ht="13.5" thickTop="1">
      <c r="A56" s="75" t="s">
        <v>346</v>
      </c>
      <c r="B56" s="221" t="s">
        <v>340</v>
      </c>
      <c r="C56" s="77" t="str">
        <f>Fecha</f>
        <v>abr-2014</v>
      </c>
      <c r="D56" s="48"/>
      <c r="E56" s="48"/>
      <c r="F56" s="222">
        <f>SUM(F58:F72)</f>
        <v>11580.879240999999</v>
      </c>
      <c r="G56" s="41"/>
    </row>
    <row r="57" spans="1:7" ht="13.5" thickBot="1">
      <c r="A57" s="7" t="s">
        <v>345</v>
      </c>
      <c r="B57" s="7" t="s">
        <v>1718</v>
      </c>
      <c r="C57" s="78" t="s">
        <v>344</v>
      </c>
      <c r="D57" s="49" t="s">
        <v>341</v>
      </c>
      <c r="E57" s="50"/>
      <c r="F57" s="68"/>
      <c r="G57" s="42" t="s">
        <v>347</v>
      </c>
    </row>
    <row r="58" spans="1:6" ht="13.5" thickTop="1">
      <c r="A58" s="82" t="s">
        <v>350</v>
      </c>
      <c r="D58" s="51"/>
      <c r="E58" s="51"/>
      <c r="F58" s="69"/>
    </row>
    <row r="59" spans="1:6" ht="12.75">
      <c r="A59" s="3" t="s">
        <v>1890</v>
      </c>
      <c r="B59" s="4" t="str">
        <f aca="true" t="shared" si="6" ref="B59:B65">VLOOKUP(A59,Insumos,2)</f>
        <v>componentes epoxi x 1/4lt.</v>
      </c>
      <c r="C59" s="6" t="str">
        <f aca="true" t="shared" si="7" ref="C59:C65">VLOOKUP(A59,Insumos,3)</f>
        <v>u</v>
      </c>
      <c r="D59" s="51">
        <v>4.8</v>
      </c>
      <c r="E59" s="51">
        <f>VLOOKUP(A59,'IN-04-14'!A60:D934,4)</f>
        <v>71.5818</v>
      </c>
      <c r="F59" s="69">
        <f aca="true" t="shared" si="8" ref="F59:F68">(D59*E59)</f>
        <v>343.59264</v>
      </c>
    </row>
    <row r="60" spans="1:6" ht="12.75">
      <c r="A60" s="3" t="s">
        <v>1770</v>
      </c>
      <c r="B60" s="4" t="str">
        <f t="shared" si="6"/>
        <v>codo epoxi 19 mm</v>
      </c>
      <c r="C60" s="6" t="str">
        <f t="shared" si="7"/>
        <v>u</v>
      </c>
      <c r="D60" s="51">
        <v>28.5</v>
      </c>
      <c r="E60" s="51">
        <f>VLOOKUP(A60,'IN-04-14'!A61:D935,4)</f>
        <v>10.7867</v>
      </c>
      <c r="F60" s="69">
        <f t="shared" si="8"/>
        <v>307.42095</v>
      </c>
    </row>
    <row r="61" spans="1:6" ht="12.75">
      <c r="A61" s="3" t="s">
        <v>1769</v>
      </c>
      <c r="B61" s="4" t="str">
        <f t="shared" si="6"/>
        <v>caño extruído 19 mm</v>
      </c>
      <c r="C61" s="6" t="str">
        <f t="shared" si="7"/>
        <v>m</v>
      </c>
      <c r="D61" s="51">
        <v>25.6</v>
      </c>
      <c r="E61" s="51">
        <f>VLOOKUP(A61,'IN-04-14'!A62:D936,4)</f>
        <v>34.81</v>
      </c>
      <c r="F61" s="69">
        <f t="shared" si="8"/>
        <v>891.1360000000001</v>
      </c>
    </row>
    <row r="62" spans="1:6" ht="12.75">
      <c r="A62" s="3" t="s">
        <v>1674</v>
      </c>
      <c r="B62" s="4" t="str">
        <f t="shared" si="6"/>
        <v>regulador y flexible p/gas natural</v>
      </c>
      <c r="C62" s="6" t="str">
        <f t="shared" si="7"/>
        <v>u</v>
      </c>
      <c r="D62" s="51">
        <v>1</v>
      </c>
      <c r="E62" s="51">
        <f>VLOOKUP(A62,'IN-04-14'!A63:D937,4)</f>
        <v>250.82</v>
      </c>
      <c r="F62" s="69">
        <f t="shared" si="8"/>
        <v>250.82</v>
      </c>
    </row>
    <row r="63" spans="1:6" ht="12.75">
      <c r="A63" s="3" t="s">
        <v>146</v>
      </c>
      <c r="B63" s="4" t="str">
        <f t="shared" si="6"/>
        <v>gabinete medidor gas</v>
      </c>
      <c r="C63" s="6" t="str">
        <f t="shared" si="7"/>
        <v>u</v>
      </c>
      <c r="D63" s="51">
        <v>1</v>
      </c>
      <c r="E63" s="51">
        <f>VLOOKUP(A63,'IN-04-14'!A64:D938,4)</f>
        <v>289.26</v>
      </c>
      <c r="F63" s="69">
        <f t="shared" si="8"/>
        <v>289.26</v>
      </c>
    </row>
    <row r="64" spans="1:6" ht="12.75">
      <c r="A64" s="3" t="s">
        <v>1673</v>
      </c>
      <c r="B64" s="4" t="str">
        <f t="shared" si="6"/>
        <v>llave p/gas cromada 1/2"</v>
      </c>
      <c r="C64" s="6" t="str">
        <f t="shared" si="7"/>
        <v>u</v>
      </c>
      <c r="D64" s="51">
        <v>3.33</v>
      </c>
      <c r="E64" s="51">
        <f>VLOOKUP(A64,'IN-04-14'!A65:D939,4)</f>
        <v>146.5947</v>
      </c>
      <c r="F64" s="69">
        <f t="shared" si="8"/>
        <v>488.160351</v>
      </c>
    </row>
    <row r="65" spans="1:6" ht="12.75">
      <c r="A65" s="3" t="s">
        <v>1675</v>
      </c>
      <c r="B65" s="4" t="str">
        <f t="shared" si="6"/>
        <v>caño de chapa galvanizada</v>
      </c>
      <c r="C65" s="6" t="str">
        <f t="shared" si="7"/>
        <v>m</v>
      </c>
      <c r="D65" s="51">
        <v>5.77</v>
      </c>
      <c r="E65" s="51">
        <f>VLOOKUP(A65,'IN-04-14'!A66:D940,4)</f>
        <v>41.25</v>
      </c>
      <c r="F65" s="69">
        <f t="shared" si="8"/>
        <v>238.0125</v>
      </c>
    </row>
    <row r="66" spans="1:6" ht="12.75">
      <c r="A66" s="3" t="s">
        <v>1676</v>
      </c>
      <c r="B66" s="4" t="str">
        <f>VLOOKUP(A66,Insumos,2)</f>
        <v>cocina 4 hornallas</v>
      </c>
      <c r="C66" s="6" t="str">
        <f>VLOOKUP(A66,Insumos,3)</f>
        <v>u</v>
      </c>
      <c r="D66" s="51">
        <v>1</v>
      </c>
      <c r="E66" s="51">
        <f>VLOOKUP(A66,'IN-04-14'!A67:D941,4)</f>
        <v>1879.34</v>
      </c>
      <c r="F66" s="69">
        <f t="shared" si="8"/>
        <v>1879.34</v>
      </c>
    </row>
    <row r="67" spans="1:6" ht="12.75">
      <c r="A67" s="3" t="s">
        <v>1677</v>
      </c>
      <c r="B67" s="4" t="str">
        <f>VLOOKUP(A67,Insumos,2)</f>
        <v>calefón 14 litros blanco</v>
      </c>
      <c r="C67" s="6" t="str">
        <f>VLOOKUP(A67,Insumos,3)</f>
        <v>u</v>
      </c>
      <c r="D67" s="51">
        <v>1</v>
      </c>
      <c r="E67" s="51">
        <f>VLOOKUP(A67,'IN-04-14'!A68:D942,4)</f>
        <v>1768.595</v>
      </c>
      <c r="F67" s="69">
        <f t="shared" si="8"/>
        <v>1768.595</v>
      </c>
    </row>
    <row r="68" spans="1:6" ht="12.75">
      <c r="A68" s="3" t="s">
        <v>1678</v>
      </c>
      <c r="B68" s="4" t="str">
        <f>VLOOKUP(A68,Insumos,2)</f>
        <v>calefactor TB 3800 calorias</v>
      </c>
      <c r="C68" s="6" t="str">
        <f>VLOOKUP(A68,Insumos,3)</f>
        <v>u</v>
      </c>
      <c r="D68" s="51">
        <v>1</v>
      </c>
      <c r="E68" s="51">
        <f>VLOOKUP(A68,'IN-04-14'!A69:D943,4)</f>
        <v>1005.37</v>
      </c>
      <c r="F68" s="69">
        <f t="shared" si="8"/>
        <v>1005.37</v>
      </c>
    </row>
    <row r="69" spans="1:6" ht="12.75">
      <c r="A69" s="82" t="s">
        <v>351</v>
      </c>
      <c r="D69" s="51"/>
      <c r="E69" s="51"/>
      <c r="F69" s="69"/>
    </row>
    <row r="70" spans="1:6" ht="12.75">
      <c r="A70" s="3" t="s">
        <v>1668</v>
      </c>
      <c r="B70" s="4" t="str">
        <f>VLOOKUP(A70,Insumos,2)</f>
        <v>cuadrilla tipo U.G.A.T.S.</v>
      </c>
      <c r="C70" s="6" t="str">
        <f>VLOOKUP(A70,Insumos,3)</f>
        <v>h</v>
      </c>
      <c r="D70" s="51">
        <f>46+D51</f>
        <v>56.480000000000004</v>
      </c>
      <c r="E70" s="51">
        <f>VLOOKUP(A70,'IN-04-14'!A71:D945,4)</f>
        <v>67.43</v>
      </c>
      <c r="F70" s="69">
        <f>(D70*E70)</f>
        <v>3808.4464000000007</v>
      </c>
    </row>
    <row r="71" spans="1:6" ht="12.75">
      <c r="A71" s="82" t="s">
        <v>352</v>
      </c>
      <c r="D71" s="51"/>
      <c r="E71" s="51"/>
      <c r="F71" s="69"/>
    </row>
    <row r="72" spans="1:6" ht="12.75">
      <c r="A72" s="3" t="s">
        <v>1637</v>
      </c>
      <c r="B72" s="4" t="str">
        <f>VLOOKUP(A72,Insumos,2)</f>
        <v>canasta 1 (camión volcador)</v>
      </c>
      <c r="C72" s="6" t="str">
        <f>VLOOKUP(A72,Insumos,3)</f>
        <v>h</v>
      </c>
      <c r="D72" s="51">
        <v>0.62</v>
      </c>
      <c r="E72" s="51">
        <f>VLOOKUP(A72,'IN-04-14'!A73:D947,4)</f>
        <v>501.17</v>
      </c>
      <c r="F72" s="69">
        <f>(D72*E72)</f>
        <v>310.72540000000004</v>
      </c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7"/>
  </sheetPr>
  <dimension ref="A2:I99"/>
  <sheetViews>
    <sheetView showGridLines="0" zoomScale="90" zoomScaleNormal="90" zoomScaleSheetLayoutView="75" zoomScalePageLayoutView="0" workbookViewId="0" topLeftCell="A1">
      <selection activeCell="C25" sqref="C2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221" t="s">
        <v>1723</v>
      </c>
      <c r="C2" s="77" t="str">
        <f>Fecha</f>
        <v>abr-2014</v>
      </c>
      <c r="D2" s="48"/>
      <c r="E2" s="48"/>
      <c r="F2" s="222">
        <f>SUM(F4:F13)</f>
        <v>6801.556855000001</v>
      </c>
      <c r="G2" s="41"/>
    </row>
    <row r="3" spans="1:7" ht="13.5" thickBot="1">
      <c r="A3" s="7" t="s">
        <v>345</v>
      </c>
      <c r="B3" s="7" t="s">
        <v>1724</v>
      </c>
      <c r="C3" s="78" t="s">
        <v>344</v>
      </c>
      <c r="D3" s="49" t="s">
        <v>1755</v>
      </c>
      <c r="E3" s="50"/>
      <c r="F3" s="68"/>
      <c r="G3" s="42" t="s">
        <v>347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1570</v>
      </c>
      <c r="B5" s="4" t="e">
        <f>VLOOKUP(A5,Insumos,2)</f>
        <v>#VALUE!</v>
      </c>
      <c r="C5" s="6" t="e">
        <f>VLOOKUP(A5,Insumos,3)</f>
        <v>#VALUE!</v>
      </c>
      <c r="D5" s="51">
        <v>63.72</v>
      </c>
      <c r="E5" s="51">
        <f>VLOOKUP(A5,'IN-04-14'!A6:D880,4)</f>
        <v>32.304</v>
      </c>
      <c r="F5" s="69">
        <f>(D5*E5)</f>
        <v>2058.41088</v>
      </c>
    </row>
    <row r="6" spans="1:6" ht="12.75">
      <c r="A6" s="3" t="s">
        <v>1566</v>
      </c>
      <c r="B6" s="4" t="e">
        <f>VLOOKUP(A6,Insumos,2)</f>
        <v>#VALUE!</v>
      </c>
      <c r="C6" s="6" t="e">
        <f>VLOOKUP(A6,Insumos,3)</f>
        <v>#VALUE!</v>
      </c>
      <c r="D6" s="51">
        <v>53.35</v>
      </c>
      <c r="E6" s="51">
        <f>VLOOKUP(A6,'IN-04-14'!A7:D881,4)</f>
        <v>4.1</v>
      </c>
      <c r="F6" s="69">
        <f>(D6*E6)</f>
        <v>218.73499999999999</v>
      </c>
    </row>
    <row r="7" spans="1:6" ht="12.75">
      <c r="A7" s="3" t="s">
        <v>1582</v>
      </c>
      <c r="B7" s="4" t="e">
        <f>VLOOKUP(A7,Insumos,2)</f>
        <v>#VALUE!</v>
      </c>
      <c r="C7" s="6" t="e">
        <f>VLOOKUP(A7,Insumos,3)</f>
        <v>#VALUE!</v>
      </c>
      <c r="D7" s="51">
        <v>13.73</v>
      </c>
      <c r="E7" s="51">
        <f>VLOOKUP(A7,'IN-04-14'!A8:D882,4)</f>
        <v>24.035</v>
      </c>
      <c r="F7" s="69">
        <f>(D7*E7)</f>
        <v>330.00055000000003</v>
      </c>
    </row>
    <row r="8" spans="1:6" ht="12.75">
      <c r="A8" s="3" t="s">
        <v>1575</v>
      </c>
      <c r="B8" s="4" t="e">
        <f>VLOOKUP(A8,Insumos,2)</f>
        <v>#VALUE!</v>
      </c>
      <c r="C8" s="6" t="e">
        <f>VLOOKUP(A8,Insumos,3)</f>
        <v>#VALUE!</v>
      </c>
      <c r="D8" s="51">
        <v>4.9</v>
      </c>
      <c r="E8" s="51">
        <f>VLOOKUP(A8,'IN-04-14'!A9:D883,4)</f>
        <v>41.07</v>
      </c>
      <c r="F8" s="69">
        <f>(D8*E8)</f>
        <v>201.24300000000002</v>
      </c>
    </row>
    <row r="9" spans="1:6" ht="12.75">
      <c r="A9" s="3" t="s">
        <v>1559</v>
      </c>
      <c r="B9" s="4" t="e">
        <f>VLOOKUP(A9,Insumos,2)</f>
        <v>#VALUE!</v>
      </c>
      <c r="C9" s="6" t="e">
        <f>VLOOKUP(A9,Insumos,3)</f>
        <v>#VALUE!</v>
      </c>
      <c r="D9" s="51">
        <v>132.75</v>
      </c>
      <c r="E9" s="51">
        <f>VLOOKUP(A9,'IN-04-14'!A10:D884,4)</f>
        <v>4.1167</v>
      </c>
      <c r="F9" s="69">
        <f>(D9*E9)</f>
        <v>546.4919249999999</v>
      </c>
    </row>
    <row r="10" spans="1:6" ht="12.75">
      <c r="A10" s="82" t="s">
        <v>351</v>
      </c>
      <c r="D10" s="51"/>
      <c r="E10" s="51"/>
      <c r="F10" s="69"/>
    </row>
    <row r="11" spans="1:6" ht="12.75">
      <c r="A11" s="3" t="s">
        <v>1668</v>
      </c>
      <c r="B11" s="4" t="str">
        <f>VLOOKUP(A11,Insumos,2)</f>
        <v>cuadrilla tipo U.G.A.T.S.</v>
      </c>
      <c r="C11" s="6" t="str">
        <f>VLOOKUP(A11,Insumos,3)</f>
        <v>h</v>
      </c>
      <c r="D11" s="51">
        <v>50</v>
      </c>
      <c r="E11" s="51">
        <f>VLOOKUP(A11,'IN-04-14'!A12:D886,4)</f>
        <v>67.43</v>
      </c>
      <c r="F11" s="69">
        <f>(D11*E11)</f>
        <v>3371.5000000000005</v>
      </c>
    </row>
    <row r="12" spans="1:6" ht="12.75">
      <c r="A12" s="82" t="s">
        <v>352</v>
      </c>
      <c r="D12" s="51"/>
      <c r="E12" s="51"/>
      <c r="F12" s="69"/>
    </row>
    <row r="13" spans="1:6" ht="12.75">
      <c r="A13" s="3" t="s">
        <v>1637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VLOOKUP(A13,'IN-04-14'!A14:D888,4)</f>
        <v>501.17</v>
      </c>
      <c r="F13" s="69">
        <f>(D13*E13)</f>
        <v>75.1755</v>
      </c>
    </row>
    <row r="14" ht="13.5" thickBot="1"/>
    <row r="15" spans="1:7" ht="13.5" thickTop="1">
      <c r="A15" s="75" t="s">
        <v>346</v>
      </c>
      <c r="B15" s="221" t="s">
        <v>1725</v>
      </c>
      <c r="C15" s="77" t="str">
        <f>Fecha</f>
        <v>abr-2014</v>
      </c>
      <c r="D15" s="48"/>
      <c r="E15" s="48"/>
      <c r="F15" s="222">
        <f>SUM(F17:F27)</f>
        <v>97594.8788475</v>
      </c>
      <c r="G15" s="41"/>
    </row>
    <row r="16" spans="1:7" ht="13.5" thickBot="1">
      <c r="A16" s="7" t="s">
        <v>345</v>
      </c>
      <c r="B16" s="7" t="s">
        <v>1724</v>
      </c>
      <c r="C16" s="78" t="s">
        <v>344</v>
      </c>
      <c r="D16" s="49" t="s">
        <v>366</v>
      </c>
      <c r="E16" s="50"/>
      <c r="F16" s="68"/>
      <c r="G16" s="42" t="s">
        <v>347</v>
      </c>
    </row>
    <row r="17" spans="1:6" ht="13.5" thickTop="1">
      <c r="A17" s="82" t="s">
        <v>350</v>
      </c>
      <c r="D17" s="51"/>
      <c r="E17" s="51"/>
      <c r="F17" s="69"/>
    </row>
    <row r="18" spans="1:6" ht="12.75">
      <c r="A18" s="3" t="s">
        <v>1570</v>
      </c>
      <c r="B18" s="4" t="e">
        <f aca="true" t="shared" si="0" ref="B18:B23">VLOOKUP(A18,Insumos,2)</f>
        <v>#VALUE!</v>
      </c>
      <c r="C18" s="6" t="e">
        <f aca="true" t="shared" si="1" ref="C18:C23">VLOOKUP(A18,Insumos,3)</f>
        <v>#VALUE!</v>
      </c>
      <c r="D18" s="51">
        <v>472.62</v>
      </c>
      <c r="E18" s="51">
        <f>VLOOKUP(A18,'IN-04-14'!A19:D893,4)</f>
        <v>32.304</v>
      </c>
      <c r="F18" s="69">
        <f aca="true" t="shared" si="2" ref="F18:F23">(D18*E18)</f>
        <v>15267.51648</v>
      </c>
    </row>
    <row r="19" spans="1:6" ht="12.75">
      <c r="A19" s="3" t="s">
        <v>1566</v>
      </c>
      <c r="B19" s="4" t="e">
        <f t="shared" si="0"/>
        <v>#VALUE!</v>
      </c>
      <c r="C19" s="6" t="e">
        <f t="shared" si="1"/>
        <v>#VALUE!</v>
      </c>
      <c r="D19" s="51">
        <v>576.332</v>
      </c>
      <c r="E19" s="51">
        <f>VLOOKUP(A19,'IN-04-14'!A20:D894,4)</f>
        <v>4.1</v>
      </c>
      <c r="F19" s="69">
        <f t="shared" si="2"/>
        <v>2362.9611999999997</v>
      </c>
    </row>
    <row r="20" spans="1:6" ht="12.75">
      <c r="A20" s="3" t="s">
        <v>1590</v>
      </c>
      <c r="B20" s="4" t="e">
        <f t="shared" si="0"/>
        <v>#VALUE!</v>
      </c>
      <c r="C20" s="6" t="e">
        <f t="shared" si="1"/>
        <v>#VALUE!</v>
      </c>
      <c r="D20" s="51">
        <v>1.742</v>
      </c>
      <c r="E20" s="51">
        <f>VLOOKUP(A20,'IN-04-14'!A21:D895,4)</f>
        <v>18000</v>
      </c>
      <c r="F20" s="69">
        <f t="shared" si="2"/>
        <v>31356</v>
      </c>
    </row>
    <row r="21" spans="1:6" ht="12.75">
      <c r="A21" s="3" t="s">
        <v>1582</v>
      </c>
      <c r="B21" s="4" t="e">
        <f t="shared" si="0"/>
        <v>#VALUE!</v>
      </c>
      <c r="C21" s="6" t="e">
        <f t="shared" si="1"/>
        <v>#VALUE!</v>
      </c>
      <c r="D21" s="51">
        <v>146.85</v>
      </c>
      <c r="E21" s="51">
        <f>VLOOKUP(A21,'IN-04-14'!A22:D896,4)</f>
        <v>24.035</v>
      </c>
      <c r="F21" s="69">
        <f t="shared" si="2"/>
        <v>3529.53975</v>
      </c>
    </row>
    <row r="22" spans="1:6" ht="12.75">
      <c r="A22" s="3" t="s">
        <v>1575</v>
      </c>
      <c r="B22" s="4" t="e">
        <f t="shared" si="0"/>
        <v>#VALUE!</v>
      </c>
      <c r="C22" s="6" t="e">
        <f t="shared" si="1"/>
        <v>#VALUE!</v>
      </c>
      <c r="D22" s="51">
        <v>373.02</v>
      </c>
      <c r="E22" s="51">
        <f>VLOOKUP(A22,'IN-04-14'!A23:D897,4)</f>
        <v>41.07</v>
      </c>
      <c r="F22" s="69">
        <f t="shared" si="2"/>
        <v>15319.9314</v>
      </c>
    </row>
    <row r="23" spans="1:6" ht="12.75">
      <c r="A23" s="3" t="s">
        <v>1559</v>
      </c>
      <c r="B23" s="4" t="e">
        <f t="shared" si="0"/>
        <v>#VALUE!</v>
      </c>
      <c r="C23" s="6" t="e">
        <f t="shared" si="1"/>
        <v>#VALUE!</v>
      </c>
      <c r="D23" s="51">
        <v>2082.325</v>
      </c>
      <c r="E23" s="51">
        <f>VLOOKUP(A23,'IN-04-14'!A24:D898,4)</f>
        <v>4.1167</v>
      </c>
      <c r="F23" s="69">
        <f t="shared" si="2"/>
        <v>8572.307327499999</v>
      </c>
    </row>
    <row r="24" spans="1:6" ht="12.75">
      <c r="A24" s="82" t="s">
        <v>351</v>
      </c>
      <c r="D24" s="51"/>
      <c r="E24" s="51"/>
      <c r="F24" s="69"/>
    </row>
    <row r="25" spans="1:6" ht="12.75">
      <c r="A25" s="3" t="s">
        <v>1668</v>
      </c>
      <c r="B25" s="4" t="str">
        <f>VLOOKUP(A25,Insumos,2)</f>
        <v>cuadrilla tipo U.G.A.T.S.</v>
      </c>
      <c r="C25" s="6" t="str">
        <f>VLOOKUP(A25,Insumos,3)</f>
        <v>h</v>
      </c>
      <c r="D25" s="51">
        <v>301.299</v>
      </c>
      <c r="E25" s="51">
        <f>VLOOKUP(A25,'IN-04-14'!A26:D900,4)</f>
        <v>67.43</v>
      </c>
      <c r="F25" s="69">
        <f>(D25*E25)</f>
        <v>20316.59157</v>
      </c>
    </row>
    <row r="26" spans="1:6" ht="12.75">
      <c r="A26" s="82" t="s">
        <v>352</v>
      </c>
      <c r="D26" s="51"/>
      <c r="E26" s="51"/>
      <c r="F26" s="69"/>
    </row>
    <row r="27" spans="1:6" ht="12.75">
      <c r="A27" s="3" t="s">
        <v>1637</v>
      </c>
      <c r="B27" s="4" t="str">
        <f>VLOOKUP(A27,Insumos,2)</f>
        <v>canasta 1 (camión volcador)</v>
      </c>
      <c r="C27" s="6" t="str">
        <f>VLOOKUP(A27,Insumos,3)</f>
        <v>h</v>
      </c>
      <c r="D27" s="51">
        <v>1.736</v>
      </c>
      <c r="E27" s="51">
        <f>VLOOKUP(A27,'IN-04-14'!A28:D902,4)</f>
        <v>501.17</v>
      </c>
      <c r="F27" s="69">
        <f>(D27*E27)</f>
        <v>870.03112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346</v>
      </c>
      <c r="B29" s="221" t="s">
        <v>1876</v>
      </c>
      <c r="C29" s="77" t="str">
        <f>Fecha</f>
        <v>abr-2014</v>
      </c>
      <c r="D29" s="48"/>
      <c r="E29" s="48"/>
      <c r="F29" s="222">
        <f>SUM(F31:F42)</f>
        <v>7304.292592000001</v>
      </c>
      <c r="G29" s="41"/>
    </row>
    <row r="30" spans="1:7" ht="13.5" thickBot="1">
      <c r="A30" s="7" t="s">
        <v>345</v>
      </c>
      <c r="B30" s="7" t="s">
        <v>1724</v>
      </c>
      <c r="C30" s="78" t="s">
        <v>344</v>
      </c>
      <c r="D30" s="49" t="s">
        <v>1893</v>
      </c>
      <c r="E30" s="50"/>
      <c r="F30" s="68"/>
      <c r="G30" s="42" t="s">
        <v>347</v>
      </c>
    </row>
    <row r="31" spans="1:6" ht="13.5" thickTop="1">
      <c r="A31" s="82" t="s">
        <v>350</v>
      </c>
      <c r="D31" s="51"/>
      <c r="E31" s="51"/>
      <c r="F31" s="69"/>
    </row>
    <row r="32" spans="1:6" ht="12.75">
      <c r="A32" s="3" t="s">
        <v>183</v>
      </c>
      <c r="B32" s="4" t="str">
        <f aca="true" t="shared" si="3" ref="B32:B38">VLOOKUP(A32,Insumos,2)</f>
        <v>pilar de luz simple completo</v>
      </c>
      <c r="C32" s="6" t="str">
        <f aca="true" t="shared" si="4" ref="C32:C38">VLOOKUP(A32,Insumos,3)</f>
        <v>u</v>
      </c>
      <c r="D32" s="51">
        <v>1</v>
      </c>
      <c r="E32" s="51">
        <f>VLOOKUP(A32,'IN-04-14'!A33:D907,4)</f>
        <v>595.04</v>
      </c>
      <c r="F32" s="69">
        <f aca="true" t="shared" si="5" ref="F32:F38">(D32*E32)</f>
        <v>595.04</v>
      </c>
    </row>
    <row r="33" spans="1:6" ht="12.75">
      <c r="A33" s="3" t="s">
        <v>1556</v>
      </c>
      <c r="B33" s="4" t="e">
        <f t="shared" si="3"/>
        <v>#VALUE!</v>
      </c>
      <c r="C33" s="6" t="e">
        <f t="shared" si="4"/>
        <v>#VALUE!</v>
      </c>
      <c r="D33" s="51">
        <v>3.6</v>
      </c>
      <c r="E33" s="51">
        <f>VLOOKUP(A33,'IN-04-14'!A34:D908,4)</f>
        <v>71.2733</v>
      </c>
      <c r="F33" s="69">
        <f t="shared" si="5"/>
        <v>256.58388</v>
      </c>
    </row>
    <row r="34" spans="1:6" ht="12.75">
      <c r="A34" s="3" t="s">
        <v>1566</v>
      </c>
      <c r="B34" s="4" t="e">
        <f t="shared" si="3"/>
        <v>#VALUE!</v>
      </c>
      <c r="C34" s="6" t="e">
        <f t="shared" si="4"/>
        <v>#VALUE!</v>
      </c>
      <c r="D34" s="51">
        <v>44</v>
      </c>
      <c r="E34" s="51">
        <f>VLOOKUP(A34,'IN-04-14'!A35:D909,4)</f>
        <v>4.1</v>
      </c>
      <c r="F34" s="69">
        <f t="shared" si="5"/>
        <v>180.39999999999998</v>
      </c>
    </row>
    <row r="35" spans="1:6" ht="12.75">
      <c r="A35" s="3" t="s">
        <v>1570</v>
      </c>
      <c r="B35" s="4" t="e">
        <f t="shared" si="3"/>
        <v>#VALUE!</v>
      </c>
      <c r="C35" s="6" t="e">
        <f t="shared" si="4"/>
        <v>#VALUE!</v>
      </c>
      <c r="D35" s="51">
        <v>33</v>
      </c>
      <c r="E35" s="51">
        <f>VLOOKUP(A35,'IN-04-14'!A36:D910,4)</f>
        <v>32.304</v>
      </c>
      <c r="F35" s="69">
        <f t="shared" si="5"/>
        <v>1066.0320000000002</v>
      </c>
    </row>
    <row r="36" spans="1:6" ht="12.75">
      <c r="A36" s="3" t="s">
        <v>1582</v>
      </c>
      <c r="B36" s="4" t="e">
        <f t="shared" si="3"/>
        <v>#VALUE!</v>
      </c>
      <c r="C36" s="6" t="e">
        <f t="shared" si="4"/>
        <v>#VALUE!</v>
      </c>
      <c r="D36" s="51">
        <v>21.36</v>
      </c>
      <c r="E36" s="51">
        <f>VLOOKUP(A36,'IN-04-14'!A37:D911,4)</f>
        <v>24.035</v>
      </c>
      <c r="F36" s="69">
        <f t="shared" si="5"/>
        <v>513.3876</v>
      </c>
    </row>
    <row r="37" spans="1:6" ht="12.75">
      <c r="A37" s="3" t="s">
        <v>1575</v>
      </c>
      <c r="B37" s="4" t="e">
        <f t="shared" si="3"/>
        <v>#VALUE!</v>
      </c>
      <c r="C37" s="6" t="e">
        <f t="shared" si="4"/>
        <v>#VALUE!</v>
      </c>
      <c r="D37" s="51">
        <v>25.39</v>
      </c>
      <c r="E37" s="51">
        <f>VLOOKUP(A37,'IN-04-14'!A38:D912,4)</f>
        <v>41.07</v>
      </c>
      <c r="F37" s="69">
        <f t="shared" si="5"/>
        <v>1042.7673</v>
      </c>
    </row>
    <row r="38" spans="1:6" ht="12.75">
      <c r="A38" s="3" t="s">
        <v>1559</v>
      </c>
      <c r="B38" s="4" t="e">
        <f t="shared" si="3"/>
        <v>#VALUE!</v>
      </c>
      <c r="C38" s="6" t="e">
        <f t="shared" si="4"/>
        <v>#VALUE!</v>
      </c>
      <c r="D38" s="51">
        <v>174.36</v>
      </c>
      <c r="E38" s="51">
        <f>VLOOKUP(A38,'IN-04-14'!A39:D913,4)</f>
        <v>4.1167</v>
      </c>
      <c r="F38" s="69">
        <f t="shared" si="5"/>
        <v>717.787812</v>
      </c>
    </row>
    <row r="39" spans="1:6" ht="12.75">
      <c r="A39" s="82" t="s">
        <v>351</v>
      </c>
      <c r="D39" s="51"/>
      <c r="E39" s="51"/>
      <c r="F39" s="69"/>
    </row>
    <row r="40" spans="1:6" ht="12.75">
      <c r="A40" s="3" t="s">
        <v>1668</v>
      </c>
      <c r="B40" s="4" t="str">
        <f>VLOOKUP(A40,Insumos,2)</f>
        <v>cuadrilla tipo U.G.A.T.S.</v>
      </c>
      <c r="C40" s="6" t="str">
        <f>VLOOKUP(A40,Insumos,3)</f>
        <v>h</v>
      </c>
      <c r="D40" s="51">
        <v>42</v>
      </c>
      <c r="E40" s="51">
        <f>VLOOKUP(A40,'IN-04-14'!A41:D915,4)</f>
        <v>67.43</v>
      </c>
      <c r="F40" s="69">
        <f>(D40*E40)</f>
        <v>2832.0600000000004</v>
      </c>
    </row>
    <row r="41" spans="1:6" ht="12.75">
      <c r="A41" s="82" t="s">
        <v>352</v>
      </c>
      <c r="D41" s="51"/>
      <c r="E41" s="51"/>
      <c r="F41" s="69"/>
    </row>
    <row r="42" spans="1:6" ht="12.75">
      <c r="A42" s="3" t="s">
        <v>1637</v>
      </c>
      <c r="B42" s="4" t="str">
        <f>VLOOKUP(A42,Insumos,2)</f>
        <v>canasta 1 (camión volcador)</v>
      </c>
      <c r="C42" s="6" t="str">
        <f>VLOOKUP(A42,Insumos,3)</f>
        <v>h</v>
      </c>
      <c r="D42" s="51">
        <v>0.2</v>
      </c>
      <c r="E42" s="51">
        <f>VLOOKUP(A42,'IN-04-14'!A43:D917,4)</f>
        <v>501.17</v>
      </c>
      <c r="F42" s="69">
        <f>(D42*E42)</f>
        <v>100.23400000000001</v>
      </c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G78"/>
  <sheetViews>
    <sheetView showGridLines="0" zoomScale="90" zoomScaleNormal="90" zoomScaleSheetLayoutView="75" zoomScalePageLayoutView="0" workbookViewId="0" topLeftCell="A1">
      <selection activeCell="E81" sqref="E8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221" t="s">
        <v>1726</v>
      </c>
      <c r="C2" s="77" t="str">
        <f>Fecha</f>
        <v>abr-2014</v>
      </c>
      <c r="D2" s="48"/>
      <c r="E2" s="48"/>
      <c r="F2" s="222">
        <f>SUM(F5:F12)</f>
        <v>51.34661125000001</v>
      </c>
      <c r="G2" s="41"/>
    </row>
    <row r="3" spans="1:7" ht="13.5" thickBot="1">
      <c r="A3" s="7" t="s">
        <v>345</v>
      </c>
      <c r="B3" s="7" t="s">
        <v>1727</v>
      </c>
      <c r="C3" s="78" t="s">
        <v>344</v>
      </c>
      <c r="D3" s="49" t="s">
        <v>1756</v>
      </c>
      <c r="E3" s="50"/>
      <c r="F3" s="68"/>
      <c r="G3" s="42" t="s">
        <v>1937</v>
      </c>
    </row>
    <row r="4" spans="4:6" ht="4.5" customHeight="1" thickTop="1">
      <c r="D4" s="51"/>
      <c r="E4" s="51"/>
      <c r="F4" s="69"/>
    </row>
    <row r="5" spans="1:6" ht="12.75">
      <c r="A5" s="82" t="s">
        <v>350</v>
      </c>
      <c r="D5" s="51"/>
      <c r="E5" s="51"/>
      <c r="F5" s="69"/>
    </row>
    <row r="6" spans="1:6" ht="12.75">
      <c r="A6" s="3" t="s">
        <v>1679</v>
      </c>
      <c r="B6" s="4" t="str">
        <f>VLOOKUP(A6,Insumos,2)</f>
        <v>pintura al latex - lata 20 lts,</v>
      </c>
      <c r="C6" s="6" t="str">
        <f>VLOOKUP(A6,Insumos,3)</f>
        <v>u</v>
      </c>
      <c r="D6" s="51">
        <v>0.0125</v>
      </c>
      <c r="E6" s="51">
        <f>VLOOKUP(A6,'IN-04-14'!A6:D880,4)</f>
        <v>706.3933</v>
      </c>
      <c r="F6" s="69">
        <f>(D6*E6)</f>
        <v>8.82991625</v>
      </c>
    </row>
    <row r="7" spans="1:6" ht="12.75">
      <c r="A7" s="3" t="s">
        <v>73</v>
      </c>
      <c r="B7" s="4" t="str">
        <f>VLOOKUP(A7,Insumos,2)</f>
        <v>fijador al agua</v>
      </c>
      <c r="C7" s="6" t="str">
        <f>VLOOKUP(A7,Insumos,3)</f>
        <v>l</v>
      </c>
      <c r="D7" s="51">
        <v>0.067</v>
      </c>
      <c r="E7" s="51">
        <f>VLOOKUP(A7,'IN-04-14'!A7:D881,4)</f>
        <v>33.42</v>
      </c>
      <c r="F7" s="69">
        <f>(D7*E7)</f>
        <v>2.2391400000000004</v>
      </c>
    </row>
    <row r="8" spans="1:6" ht="12.75">
      <c r="A8" s="3" t="s">
        <v>1772</v>
      </c>
      <c r="B8" s="4" t="str">
        <f>VLOOKUP(A8,Insumos,2)</f>
        <v>enduído plástico</v>
      </c>
      <c r="C8" s="6" t="str">
        <f>VLOOKUP(A8,Insumos,3)</f>
        <v>l</v>
      </c>
      <c r="D8" s="51">
        <v>0.34</v>
      </c>
      <c r="E8" s="51">
        <f>VLOOKUP(A8,'IN-04-14'!A8:D882,4)</f>
        <v>30.87</v>
      </c>
      <c r="F8" s="69">
        <f>(D8*E8)</f>
        <v>10.495800000000001</v>
      </c>
    </row>
    <row r="9" spans="1:6" ht="12.75">
      <c r="A9" s="82" t="s">
        <v>351</v>
      </c>
      <c r="D9" s="51"/>
      <c r="E9" s="51"/>
      <c r="F9" s="69"/>
    </row>
    <row r="10" spans="1:6" ht="12.75">
      <c r="A10" s="3" t="s">
        <v>1636</v>
      </c>
      <c r="B10" s="4" t="str">
        <f>VLOOKUP(A10,Insumos,2)</f>
        <v>cuadrilla tipo UOCRA</v>
      </c>
      <c r="C10" s="6" t="str">
        <f>VLOOKUP(A10,Insumos,3)</f>
        <v>h</v>
      </c>
      <c r="D10" s="51">
        <f>0.6/1.2</f>
        <v>0.5</v>
      </c>
      <c r="E10" s="51">
        <f>VLOOKUP(A10,'IN-04-14'!A10:D884,4)</f>
        <v>58.06</v>
      </c>
      <c r="F10" s="69">
        <f>(D10*E10)</f>
        <v>29.03</v>
      </c>
    </row>
    <row r="11" spans="1:6" ht="12.75">
      <c r="A11" s="82" t="s">
        <v>352</v>
      </c>
      <c r="D11" s="51"/>
      <c r="E11" s="51"/>
      <c r="F11" s="69"/>
    </row>
    <row r="12" spans="1:6" ht="12.75">
      <c r="A12" s="3" t="s">
        <v>1637</v>
      </c>
      <c r="B12" s="4" t="str">
        <f>VLOOKUP(A12,Insumos,2)</f>
        <v>canasta 1 (camión volcador)</v>
      </c>
      <c r="C12" s="6" t="str">
        <f>VLOOKUP(A12,Insumos,3)</f>
        <v>h</v>
      </c>
      <c r="D12" s="51">
        <v>0.0015</v>
      </c>
      <c r="E12" s="51">
        <f>VLOOKUP(A12,'IN-04-14'!A12:D886,4)</f>
        <v>501.17</v>
      </c>
      <c r="F12" s="69">
        <f>(D12*E12)</f>
        <v>0.7517550000000001</v>
      </c>
    </row>
    <row r="13" ht="13.5" thickBot="1"/>
    <row r="14" spans="1:7" ht="13.5" thickTop="1">
      <c r="A14" s="75" t="s">
        <v>346</v>
      </c>
      <c r="B14" s="221" t="s">
        <v>1728</v>
      </c>
      <c r="C14" s="77" t="str">
        <f>Fecha</f>
        <v>abr-2014</v>
      </c>
      <c r="D14" s="48"/>
      <c r="E14" s="48"/>
      <c r="F14" s="222">
        <f>SUM(F17:F23)</f>
        <v>15.904985</v>
      </c>
      <c r="G14" s="41"/>
    </row>
    <row r="15" spans="1:7" ht="13.5" thickBot="1">
      <c r="A15" s="7" t="s">
        <v>345</v>
      </c>
      <c r="B15" s="7" t="s">
        <v>1727</v>
      </c>
      <c r="C15" s="78" t="s">
        <v>344</v>
      </c>
      <c r="D15" s="49" t="s">
        <v>1757</v>
      </c>
      <c r="E15" s="50"/>
      <c r="F15" s="68"/>
      <c r="G15" s="42" t="s">
        <v>1937</v>
      </c>
    </row>
    <row r="16" spans="4:6" ht="4.5" customHeight="1" thickTop="1">
      <c r="D16" s="51"/>
      <c r="E16" s="51"/>
      <c r="F16" s="69"/>
    </row>
    <row r="17" spans="1:6" ht="12.75">
      <c r="A17" s="82" t="s">
        <v>350</v>
      </c>
      <c r="D17" s="51"/>
      <c r="E17" s="51"/>
      <c r="F17" s="69"/>
    </row>
    <row r="18" spans="1:6" ht="12.75">
      <c r="A18" s="3" t="s">
        <v>73</v>
      </c>
      <c r="B18" s="4" t="str">
        <f>VLOOKUP(A18,Insumos,2)</f>
        <v>fijador al agua</v>
      </c>
      <c r="C18" s="6" t="str">
        <f>VLOOKUP(A18,Insumos,3)</f>
        <v>l</v>
      </c>
      <c r="D18" s="51">
        <v>0.02</v>
      </c>
      <c r="E18" s="51">
        <f>VLOOKUP(A18,'IN-04-14'!A18:D892,4)</f>
        <v>33.42</v>
      </c>
      <c r="F18" s="69">
        <f>(D18*E18)</f>
        <v>0.6684</v>
      </c>
    </row>
    <row r="19" spans="1:6" ht="12.75">
      <c r="A19" s="3" t="s">
        <v>1646</v>
      </c>
      <c r="B19" s="4" t="str">
        <f>VLOOKUP(A19,Insumos,2)</f>
        <v>cal hidratada en bolsa</v>
      </c>
      <c r="C19" s="6" t="str">
        <f>VLOOKUP(A19,Insumos,3)</f>
        <v>kg</v>
      </c>
      <c r="D19" s="51">
        <v>0.3</v>
      </c>
      <c r="E19" s="51">
        <f>VLOOKUP(A19,'IN-04-14'!A19:D893,4)</f>
        <v>1.57</v>
      </c>
      <c r="F19" s="69">
        <f>(D19*E19)</f>
        <v>0.471</v>
      </c>
    </row>
    <row r="20" spans="1:6" ht="12.75">
      <c r="A20" s="82" t="s">
        <v>351</v>
      </c>
      <c r="D20" s="51"/>
      <c r="E20" s="51"/>
      <c r="F20" s="69"/>
    </row>
    <row r="21" spans="1:6" ht="12.75">
      <c r="A21" s="3" t="s">
        <v>1636</v>
      </c>
      <c r="B21" s="4" t="str">
        <f>VLOOKUP(A21,Insumos,2)</f>
        <v>cuadrilla tipo UOCRA</v>
      </c>
      <c r="C21" s="6" t="str">
        <f>VLOOKUP(A21,Insumos,3)</f>
        <v>h</v>
      </c>
      <c r="D21" s="51">
        <v>0.25</v>
      </c>
      <c r="E21" s="51">
        <f>VLOOKUP(A21,'IN-04-14'!A21:D895,4)</f>
        <v>58.06</v>
      </c>
      <c r="F21" s="69">
        <f>(D21*E21)</f>
        <v>14.515</v>
      </c>
    </row>
    <row r="22" spans="1:6" ht="12.75">
      <c r="A22" s="82" t="s">
        <v>352</v>
      </c>
      <c r="D22" s="51"/>
      <c r="E22" s="51"/>
      <c r="F22" s="69"/>
    </row>
    <row r="23" spans="1:6" ht="12.75">
      <c r="A23" s="3" t="s">
        <v>1637</v>
      </c>
      <c r="B23" s="4" t="str">
        <f>VLOOKUP(A23,Insumos,2)</f>
        <v>canasta 1 (camión volcador)</v>
      </c>
      <c r="C23" s="6" t="str">
        <f>VLOOKUP(A23,Insumos,3)</f>
        <v>h</v>
      </c>
      <c r="D23" s="51">
        <v>0.0005</v>
      </c>
      <c r="E23" s="51">
        <f>VLOOKUP(A23,'IN-04-14'!A23:D897,4)</f>
        <v>501.17</v>
      </c>
      <c r="F23" s="69">
        <f>(D23*E23)</f>
        <v>0.250585</v>
      </c>
    </row>
    <row r="24" ht="13.5" thickBot="1"/>
    <row r="25" spans="1:7" ht="13.5" thickTop="1">
      <c r="A25" s="75" t="s">
        <v>346</v>
      </c>
      <c r="B25" s="221" t="s">
        <v>1729</v>
      </c>
      <c r="C25" s="77" t="str">
        <f>Fecha</f>
        <v>abr-2014</v>
      </c>
      <c r="D25" s="48"/>
      <c r="E25" s="48"/>
      <c r="F25" s="222">
        <f>SUM(F28:F34)</f>
        <v>17.016237500000003</v>
      </c>
      <c r="G25" s="41"/>
    </row>
    <row r="26" spans="1:7" ht="13.5" thickBot="1">
      <c r="A26" s="7" t="s">
        <v>345</v>
      </c>
      <c r="B26" s="7" t="s">
        <v>1727</v>
      </c>
      <c r="C26" s="78" t="s">
        <v>344</v>
      </c>
      <c r="D26" s="49" t="s">
        <v>1780</v>
      </c>
      <c r="E26" s="50"/>
      <c r="F26" s="68"/>
      <c r="G26" s="42" t="s">
        <v>1937</v>
      </c>
    </row>
    <row r="27" spans="4:6" ht="4.5" customHeight="1" thickTop="1">
      <c r="D27" s="51"/>
      <c r="E27" s="51"/>
      <c r="F27" s="69"/>
    </row>
    <row r="28" spans="1:6" ht="12.75">
      <c r="A28" s="82" t="s">
        <v>350</v>
      </c>
      <c r="D28" s="51"/>
      <c r="E28" s="51"/>
      <c r="F28" s="69"/>
    </row>
    <row r="29" spans="1:6" ht="12.75">
      <c r="A29" s="3" t="s">
        <v>73</v>
      </c>
      <c r="B29" s="4" t="str">
        <f>VLOOKUP(A29,Insumos,2)</f>
        <v>fijador al agua</v>
      </c>
      <c r="C29" s="6" t="str">
        <f>VLOOKUP(A29,Insumos,3)</f>
        <v>l</v>
      </c>
      <c r="D29" s="51">
        <v>0.02</v>
      </c>
      <c r="E29" s="51">
        <f>VLOOKUP(A29,'IN-04-14'!A29:D903,4)</f>
        <v>33.42</v>
      </c>
      <c r="F29" s="69">
        <f>(D29*E29)</f>
        <v>0.6684</v>
      </c>
    </row>
    <row r="30" spans="1:6" ht="12.75">
      <c r="A30" s="3" t="s">
        <v>1781</v>
      </c>
      <c r="B30" s="4" t="str">
        <f>VLOOKUP(A30,Insumos,2)</f>
        <v>pintura al agua bolsa 4 kg</v>
      </c>
      <c r="C30" s="6" t="str">
        <f>VLOOKUP(A30,Insumos,3)</f>
        <v>u</v>
      </c>
      <c r="D30" s="51">
        <v>0.075</v>
      </c>
      <c r="E30" s="51">
        <f>VLOOKUP(A30,'IN-04-14'!A30:D904,4)</f>
        <v>21.0967</v>
      </c>
      <c r="F30" s="69">
        <f>(D30*E30)</f>
        <v>1.5822524999999998</v>
      </c>
    </row>
    <row r="31" spans="1:6" ht="12.75">
      <c r="A31" s="82" t="s">
        <v>351</v>
      </c>
      <c r="D31" s="51"/>
      <c r="E31" s="51"/>
      <c r="F31" s="69"/>
    </row>
    <row r="32" spans="1:6" ht="12.75">
      <c r="A32" s="3" t="s">
        <v>1636</v>
      </c>
      <c r="B32" s="4" t="str">
        <f>VLOOKUP(A32,Insumos,2)</f>
        <v>cuadrilla tipo UOCRA</v>
      </c>
      <c r="C32" s="6" t="str">
        <f>VLOOKUP(A32,Insumos,3)</f>
        <v>h</v>
      </c>
      <c r="D32" s="51">
        <v>0.25</v>
      </c>
      <c r="E32" s="51">
        <f>VLOOKUP(A32,'IN-04-14'!A32:D906,4)</f>
        <v>58.06</v>
      </c>
      <c r="F32" s="69">
        <f>(D32*E32)</f>
        <v>14.515</v>
      </c>
    </row>
    <row r="33" spans="1:6" ht="12.75">
      <c r="A33" s="82" t="s">
        <v>352</v>
      </c>
      <c r="D33" s="51"/>
      <c r="E33" s="51"/>
      <c r="F33" s="69"/>
    </row>
    <row r="34" spans="1:6" ht="12.75">
      <c r="A34" s="3" t="s">
        <v>1637</v>
      </c>
      <c r="B34" s="4" t="str">
        <f>VLOOKUP(A34,Insumos,2)</f>
        <v>canasta 1 (camión volcador)</v>
      </c>
      <c r="C34" s="6" t="str">
        <f>VLOOKUP(A34,Insumos,3)</f>
        <v>h</v>
      </c>
      <c r="D34" s="51">
        <v>0.0005</v>
      </c>
      <c r="E34" s="51">
        <f>VLOOKUP(A34,'IN-04-14'!A34:D908,4)</f>
        <v>501.17</v>
      </c>
      <c r="F34" s="69">
        <f>(D34*E34)</f>
        <v>0.250585</v>
      </c>
    </row>
    <row r="35" ht="13.5" thickBot="1"/>
    <row r="36" spans="1:7" ht="13.5" thickTop="1">
      <c r="A36" s="75" t="s">
        <v>346</v>
      </c>
      <c r="B36" s="221" t="s">
        <v>1782</v>
      </c>
      <c r="C36" s="77" t="str">
        <f>Fecha</f>
        <v>abr-2014</v>
      </c>
      <c r="D36" s="48"/>
      <c r="E36" s="48"/>
      <c r="F36" s="222">
        <f>SUM(F39:F46)</f>
        <v>63.903541999999995</v>
      </c>
      <c r="G36" s="41"/>
    </row>
    <row r="37" spans="1:7" ht="13.5" thickBot="1">
      <c r="A37" s="7" t="s">
        <v>345</v>
      </c>
      <c r="B37" s="7" t="s">
        <v>1727</v>
      </c>
      <c r="C37" s="78" t="s">
        <v>344</v>
      </c>
      <c r="D37" s="49" t="s">
        <v>1758</v>
      </c>
      <c r="E37" s="50"/>
      <c r="F37" s="68"/>
      <c r="G37" s="42" t="s">
        <v>1937</v>
      </c>
    </row>
    <row r="38" spans="4:6" ht="4.5" customHeight="1" thickTop="1">
      <c r="D38" s="51"/>
      <c r="E38" s="51"/>
      <c r="F38" s="69"/>
    </row>
    <row r="39" spans="1:6" ht="12.75">
      <c r="A39" s="82" t="s">
        <v>350</v>
      </c>
      <c r="D39" s="51"/>
      <c r="E39" s="51"/>
      <c r="F39" s="69"/>
    </row>
    <row r="40" spans="1:6" ht="12.75">
      <c r="A40" s="3" t="s">
        <v>1680</v>
      </c>
      <c r="B40" s="4" t="str">
        <f>VLOOKUP(A40,Insumos,2)</f>
        <v>esmalte sintetico x 4 lts blanco</v>
      </c>
      <c r="C40" s="6" t="str">
        <f>VLOOKUP(A40,Insumos,3)</f>
        <v>u</v>
      </c>
      <c r="D40" s="51">
        <v>0.05</v>
      </c>
      <c r="E40" s="51">
        <f>VLOOKUP(A40,'IN-04-14'!A40:D914,4)</f>
        <v>264.4367</v>
      </c>
      <c r="F40" s="69">
        <f>(D40*E40)</f>
        <v>13.221834999999999</v>
      </c>
    </row>
    <row r="41" spans="1:6" ht="12.75">
      <c r="A41" s="3" t="s">
        <v>185</v>
      </c>
      <c r="B41" s="4" t="str">
        <f>VLOOKUP(A41,Insumos,2)</f>
        <v>antióxido rojo plata x 4 lts.</v>
      </c>
      <c r="C41" s="6" t="str">
        <f>VLOOKUP(A41,Insumos,3)</f>
        <v>u</v>
      </c>
      <c r="D41" s="51">
        <v>0.025</v>
      </c>
      <c r="E41" s="51">
        <f>VLOOKUP(A41,'IN-04-14'!A41:D915,4)</f>
        <v>223.16</v>
      </c>
      <c r="F41" s="69">
        <f>(D41*E41)</f>
        <v>5.579000000000001</v>
      </c>
    </row>
    <row r="42" spans="1:6" ht="12.75">
      <c r="A42" s="3" t="s">
        <v>1774</v>
      </c>
      <c r="B42" s="4" t="str">
        <f>VLOOKUP(A42,Insumos,2)</f>
        <v>barniz sintético</v>
      </c>
      <c r="C42" s="6" t="str">
        <f>VLOOKUP(A42,Insumos,3)</f>
        <v>l</v>
      </c>
      <c r="D42" s="51">
        <v>0.01</v>
      </c>
      <c r="E42" s="51">
        <f>VLOOKUP(A42,'IN-04-14'!A42:D916,4)</f>
        <v>55.5367</v>
      </c>
      <c r="F42" s="69">
        <f>(D42*E42)</f>
        <v>0.555367</v>
      </c>
    </row>
    <row r="43" spans="1:6" ht="12.75">
      <c r="A43" s="82" t="s">
        <v>351</v>
      </c>
      <c r="D43" s="51"/>
      <c r="E43" s="51"/>
      <c r="F43" s="69"/>
    </row>
    <row r="44" spans="1:6" ht="12.75">
      <c r="A44" s="3" t="s">
        <v>1636</v>
      </c>
      <c r="B44" s="4" t="str">
        <f>VLOOKUP(A44,Insumos,2)</f>
        <v>cuadrilla tipo UOCRA</v>
      </c>
      <c r="C44" s="6" t="str">
        <f>VLOOKUP(A44,Insumos,3)</f>
        <v>h</v>
      </c>
      <c r="D44" s="51">
        <f>0.9/1.2</f>
        <v>0.75</v>
      </c>
      <c r="E44" s="51">
        <f>VLOOKUP(A44,'IN-04-14'!A44:D918,4)</f>
        <v>58.06</v>
      </c>
      <c r="F44" s="69">
        <f>(D44*E44)</f>
        <v>43.545</v>
      </c>
    </row>
    <row r="45" spans="1:6" ht="12.75">
      <c r="A45" s="82" t="s">
        <v>352</v>
      </c>
      <c r="D45" s="51"/>
      <c r="E45" s="51"/>
      <c r="F45" s="69"/>
    </row>
    <row r="46" spans="1:6" ht="12.75">
      <c r="A46" s="3" t="s">
        <v>1637</v>
      </c>
      <c r="B46" s="4" t="str">
        <f>VLOOKUP(A46,Insumos,2)</f>
        <v>canasta 1 (camión volcador)</v>
      </c>
      <c r="C46" s="6" t="str">
        <f>VLOOKUP(A46,Insumos,3)</f>
        <v>h</v>
      </c>
      <c r="D46" s="51">
        <v>0.002</v>
      </c>
      <c r="E46" s="51">
        <f>VLOOKUP(A46,'IN-04-14'!A46:D920,4)</f>
        <v>501.17</v>
      </c>
      <c r="F46" s="69">
        <f>(D46*E46)</f>
        <v>1.00234</v>
      </c>
    </row>
    <row r="47" spans="1:6" ht="13.5" thickBot="1">
      <c r="A47" s="3"/>
      <c r="B47" s="4"/>
      <c r="C47" s="6"/>
      <c r="D47" s="51"/>
      <c r="E47" s="51"/>
      <c r="F47" s="69"/>
    </row>
    <row r="48" spans="1:7" ht="13.5" thickTop="1">
      <c r="A48" s="75" t="s">
        <v>346</v>
      </c>
      <c r="B48" s="221" t="s">
        <v>186</v>
      </c>
      <c r="C48" s="77" t="str">
        <f>Fecha</f>
        <v>abr-2014</v>
      </c>
      <c r="D48" s="48"/>
      <c r="E48" s="48"/>
      <c r="F48" s="222">
        <f>SUM(F50:F56)</f>
        <v>41.145497000000006</v>
      </c>
      <c r="G48" s="41"/>
    </row>
    <row r="49" spans="1:7" ht="13.5" thickBot="1">
      <c r="A49" s="7" t="s">
        <v>345</v>
      </c>
      <c r="B49" s="7" t="s">
        <v>1727</v>
      </c>
      <c r="C49" s="78" t="s">
        <v>344</v>
      </c>
      <c r="D49" s="49" t="s">
        <v>1873</v>
      </c>
      <c r="E49" s="50"/>
      <c r="F49" s="68"/>
      <c r="G49" s="42" t="s">
        <v>1937</v>
      </c>
    </row>
    <row r="50" spans="1:6" ht="13.5" thickTop="1">
      <c r="A50" s="82" t="s">
        <v>350</v>
      </c>
      <c r="D50" s="51"/>
      <c r="E50" s="51"/>
      <c r="F50" s="69"/>
    </row>
    <row r="51" spans="1:6" ht="12.75">
      <c r="A51" s="3" t="s">
        <v>1773</v>
      </c>
      <c r="B51" s="4" t="str">
        <f>VLOOKUP(A51,Insumos,2)</f>
        <v>aguarrás</v>
      </c>
      <c r="C51" s="6" t="str">
        <f>VLOOKUP(A51,Insumos,3)</f>
        <v>l</v>
      </c>
      <c r="D51" s="51">
        <v>0.06</v>
      </c>
      <c r="E51" s="51">
        <f>VLOOKUP(A51,'IN-04-14'!A51:D925,4)</f>
        <v>23.6267</v>
      </c>
      <c r="F51" s="69">
        <f>(D51*E51)</f>
        <v>1.417602</v>
      </c>
    </row>
    <row r="52" spans="1:6" ht="12.75">
      <c r="A52" s="3" t="s">
        <v>1774</v>
      </c>
      <c r="B52" s="4" t="str">
        <f>VLOOKUP(A52,Insumos,2)</f>
        <v>barniz sintético</v>
      </c>
      <c r="C52" s="6" t="str">
        <f>VLOOKUP(A52,Insumos,3)</f>
        <v>l</v>
      </c>
      <c r="D52" s="51">
        <v>0.2</v>
      </c>
      <c r="E52" s="51">
        <f>VLOOKUP(A52,'IN-04-14'!A52:D926,4)</f>
        <v>55.5367</v>
      </c>
      <c r="F52" s="69">
        <f>(D52*E52)</f>
        <v>11.10734</v>
      </c>
    </row>
    <row r="53" spans="1:6" ht="12.75">
      <c r="A53" s="82" t="s">
        <v>351</v>
      </c>
      <c r="D53" s="51"/>
      <c r="E53" s="51"/>
      <c r="F53" s="69"/>
    </row>
    <row r="54" spans="1:6" ht="12.75">
      <c r="A54" s="3" t="s">
        <v>1636</v>
      </c>
      <c r="B54" s="4" t="str">
        <f>VLOOKUP(A54,Insumos,2)</f>
        <v>cuadrilla tipo UOCRA</v>
      </c>
      <c r="C54" s="6" t="str">
        <f>VLOOKUP(A54,Insumos,3)</f>
        <v>h</v>
      </c>
      <c r="D54" s="51">
        <f>0.6/1.25</f>
        <v>0.48</v>
      </c>
      <c r="E54" s="51">
        <f>VLOOKUP(A54,'IN-04-14'!A54:D928,4)</f>
        <v>58.06</v>
      </c>
      <c r="F54" s="69">
        <f>(D54*E54)</f>
        <v>27.8688</v>
      </c>
    </row>
    <row r="55" spans="1:6" ht="12.75">
      <c r="A55" s="82" t="s">
        <v>352</v>
      </c>
      <c r="D55" s="51"/>
      <c r="E55" s="51"/>
      <c r="F55" s="69"/>
    </row>
    <row r="56" spans="1:6" ht="12.75">
      <c r="A56" s="3" t="s">
        <v>1637</v>
      </c>
      <c r="B56" s="4" t="str">
        <f>VLOOKUP(A56,Insumos,2)</f>
        <v>canasta 1 (camión volcador)</v>
      </c>
      <c r="C56" s="6" t="str">
        <f>VLOOKUP(A56,Insumos,3)</f>
        <v>h</v>
      </c>
      <c r="D56" s="51">
        <v>0.0015</v>
      </c>
      <c r="E56" s="51">
        <f>VLOOKUP(A56,'IN-04-14'!A56:D930,4)</f>
        <v>501.17</v>
      </c>
      <c r="F56" s="69">
        <f>(D56*E56)</f>
        <v>0.7517550000000001</v>
      </c>
    </row>
    <row r="57" spans="1:6" ht="13.5" thickBot="1">
      <c r="A57" s="3"/>
      <c r="B57" s="4"/>
      <c r="C57" s="6"/>
      <c r="D57" s="51"/>
      <c r="E57" s="51"/>
      <c r="F57" s="69"/>
    </row>
    <row r="58" spans="1:7" ht="13.5" thickTop="1">
      <c r="A58" s="75" t="s">
        <v>346</v>
      </c>
      <c r="B58" s="221" t="s">
        <v>187</v>
      </c>
      <c r="C58" s="77" t="str">
        <f>Fecha</f>
        <v>abr-2014</v>
      </c>
      <c r="D58" s="48"/>
      <c r="E58" s="48"/>
      <c r="F58" s="222">
        <f>SUM(F60:F67)</f>
        <v>53.151857</v>
      </c>
      <c r="G58" s="41"/>
    </row>
    <row r="59" spans="1:7" ht="13.5" thickBot="1">
      <c r="A59" s="7" t="s">
        <v>345</v>
      </c>
      <c r="B59" s="7" t="s">
        <v>1727</v>
      </c>
      <c r="C59" s="78" t="s">
        <v>344</v>
      </c>
      <c r="D59" s="49" t="s">
        <v>1874</v>
      </c>
      <c r="E59" s="50"/>
      <c r="F59" s="68"/>
      <c r="G59" s="42" t="s">
        <v>1937</v>
      </c>
    </row>
    <row r="60" spans="1:6" ht="13.5" thickTop="1">
      <c r="A60" s="82" t="s">
        <v>350</v>
      </c>
      <c r="D60" s="51"/>
      <c r="E60" s="51"/>
      <c r="F60" s="69"/>
    </row>
    <row r="61" spans="1:6" ht="12.75">
      <c r="A61" s="3" t="s">
        <v>1773</v>
      </c>
      <c r="B61" s="4" t="str">
        <f>VLOOKUP(A61,Insumos,2)</f>
        <v>aguarrás</v>
      </c>
      <c r="C61" s="6" t="str">
        <f>VLOOKUP(A61,Insumos,3)</f>
        <v>l</v>
      </c>
      <c r="D61" s="51">
        <v>0.06</v>
      </c>
      <c r="E61" s="51">
        <f>VLOOKUP(A61,'IN-04-14'!A61:D935,4)</f>
        <v>23.6267</v>
      </c>
      <c r="F61" s="69">
        <f>(D61*E61)</f>
        <v>1.417602</v>
      </c>
    </row>
    <row r="62" spans="1:6" ht="12.75">
      <c r="A62" s="3" t="s">
        <v>185</v>
      </c>
      <c r="B62" s="4" t="str">
        <f>VLOOKUP(A62,Insumos,2)</f>
        <v>antióxido rojo plata x 4 lts.</v>
      </c>
      <c r="C62" s="6" t="str">
        <f>VLOOKUP(A62,Insumos,3)</f>
        <v>u</v>
      </c>
      <c r="D62" s="51">
        <v>0.038</v>
      </c>
      <c r="E62" s="51">
        <f>VLOOKUP(A62,'IN-04-14'!A62:D936,4)</f>
        <v>223.16</v>
      </c>
      <c r="F62" s="69">
        <f>(D62*E62)</f>
        <v>8.48008</v>
      </c>
    </row>
    <row r="63" spans="1:6" ht="12.75">
      <c r="A63" s="3" t="s">
        <v>1680</v>
      </c>
      <c r="B63" s="4" t="str">
        <f>VLOOKUP(A63,Insumos,2)</f>
        <v>esmalte sintetico x 4 lts blanco</v>
      </c>
      <c r="C63" s="6" t="str">
        <f>VLOOKUP(A63,Insumos,3)</f>
        <v>u</v>
      </c>
      <c r="D63" s="51">
        <v>0.05</v>
      </c>
      <c r="E63" s="51">
        <f>VLOOKUP(A63,'IN-04-14'!A63:D937,4)</f>
        <v>264.4367</v>
      </c>
      <c r="F63" s="69">
        <f>(D63*E63)</f>
        <v>13.221834999999999</v>
      </c>
    </row>
    <row r="64" spans="1:6" ht="12.75">
      <c r="A64" s="82" t="s">
        <v>351</v>
      </c>
      <c r="D64" s="51"/>
      <c r="E64" s="51"/>
      <c r="F64" s="69"/>
    </row>
    <row r="65" spans="1:6" ht="12.75">
      <c r="A65" s="3" t="s">
        <v>1636</v>
      </c>
      <c r="B65" s="4" t="str">
        <f>VLOOKUP(A65,Insumos,2)</f>
        <v>cuadrilla tipo UOCRA</v>
      </c>
      <c r="C65" s="6" t="str">
        <f>VLOOKUP(A65,Insumos,3)</f>
        <v>h</v>
      </c>
      <c r="D65" s="51">
        <f>0.6/1.2</f>
        <v>0.5</v>
      </c>
      <c r="E65" s="51">
        <f>VLOOKUP(A65,'IN-04-14'!A65:D939,4)</f>
        <v>58.06</v>
      </c>
      <c r="F65" s="69">
        <f>(D65*E65)</f>
        <v>29.03</v>
      </c>
    </row>
    <row r="66" spans="1:6" ht="12.75">
      <c r="A66" s="82" t="s">
        <v>352</v>
      </c>
      <c r="D66" s="51"/>
      <c r="E66" s="51"/>
      <c r="F66" s="69"/>
    </row>
    <row r="67" spans="1:6" ht="12.75">
      <c r="A67" s="3" t="s">
        <v>1637</v>
      </c>
      <c r="B67" s="4" t="str">
        <f>VLOOKUP(A67,Insumos,2)</f>
        <v>canasta 1 (camión volcador)</v>
      </c>
      <c r="C67" s="6" t="str">
        <f>VLOOKUP(A67,Insumos,3)</f>
        <v>h</v>
      </c>
      <c r="D67" s="51">
        <v>0.002</v>
      </c>
      <c r="E67" s="51">
        <f>VLOOKUP(A67,'IN-04-14'!A67:D941,4)</f>
        <v>501.17</v>
      </c>
      <c r="F67" s="69">
        <f>(D67*E67)</f>
        <v>1.00234</v>
      </c>
    </row>
    <row r="68" spans="1:6" ht="13.5" thickBot="1">
      <c r="A68" s="3"/>
      <c r="B68" s="4"/>
      <c r="C68" s="6"/>
      <c r="D68" s="51"/>
      <c r="E68" s="51"/>
      <c r="F68" s="69"/>
    </row>
    <row r="69" spans="1:7" ht="13.5" thickTop="1">
      <c r="A69" s="75" t="s">
        <v>346</v>
      </c>
      <c r="B69" s="221" t="s">
        <v>188</v>
      </c>
      <c r="C69" s="77" t="str">
        <f>Fecha</f>
        <v>abr-2014</v>
      </c>
      <c r="D69" s="48"/>
      <c r="E69" s="48"/>
      <c r="F69" s="222">
        <f>SUM(F71:F78)</f>
        <v>63.1874048</v>
      </c>
      <c r="G69" s="41"/>
    </row>
    <row r="70" spans="1:7" ht="13.5" thickBot="1">
      <c r="A70" s="7" t="s">
        <v>345</v>
      </c>
      <c r="B70" s="7" t="s">
        <v>1727</v>
      </c>
      <c r="C70" s="78" t="s">
        <v>344</v>
      </c>
      <c r="D70" s="49" t="s">
        <v>1875</v>
      </c>
      <c r="E70" s="50"/>
      <c r="F70" s="68"/>
      <c r="G70" s="42" t="s">
        <v>1937</v>
      </c>
    </row>
    <row r="71" spans="1:6" ht="13.5" thickTop="1">
      <c r="A71" s="82" t="s">
        <v>350</v>
      </c>
      <c r="D71" s="51"/>
      <c r="E71" s="51"/>
      <c r="F71" s="69"/>
    </row>
    <row r="72" spans="1:6" ht="12.75">
      <c r="A72" s="3" t="s">
        <v>74</v>
      </c>
      <c r="B72" s="4" t="str">
        <f>VLOOKUP(A72,Insumos,2)</f>
        <v>pintura siliconadas p/ladrillos </v>
      </c>
      <c r="C72" s="6" t="str">
        <f>VLOOKUP(A72,Insumos,3)</f>
        <v>l</v>
      </c>
      <c r="D72" s="51">
        <v>0.5</v>
      </c>
      <c r="E72" s="51">
        <f>VLOOKUP(A72,'IN-04-14'!A72:D946,4)</f>
        <v>58.5033</v>
      </c>
      <c r="F72" s="69">
        <f>(D72*E72)</f>
        <v>29.25165</v>
      </c>
    </row>
    <row r="73" spans="1:6" ht="12.75">
      <c r="A73" s="3" t="s">
        <v>1773</v>
      </c>
      <c r="B73" s="4" t="str">
        <f>VLOOKUP(A73,Insumos,2)</f>
        <v>aguarrás</v>
      </c>
      <c r="C73" s="6" t="str">
        <f>VLOOKUP(A73,Insumos,3)</f>
        <v>l</v>
      </c>
      <c r="D73" s="51">
        <v>0.144</v>
      </c>
      <c r="E73" s="51">
        <f>VLOOKUP(A73,'IN-04-14'!A73:D947,4)</f>
        <v>23.6267</v>
      </c>
      <c r="F73" s="69">
        <f>(D73*E73)</f>
        <v>3.4022447999999996</v>
      </c>
    </row>
    <row r="74" spans="1:6" ht="12.75">
      <c r="A74" s="3"/>
      <c r="B74" s="4"/>
      <c r="C74" s="6"/>
      <c r="D74" s="51"/>
      <c r="E74" s="51"/>
      <c r="F74" s="69"/>
    </row>
    <row r="75" spans="1:6" ht="12.75">
      <c r="A75" s="82" t="s">
        <v>351</v>
      </c>
      <c r="D75" s="51"/>
      <c r="E75" s="51"/>
      <c r="F75" s="69"/>
    </row>
    <row r="76" spans="1:6" ht="12.75">
      <c r="A76" s="3" t="s">
        <v>1636</v>
      </c>
      <c r="B76" s="4" t="str">
        <f>VLOOKUP(A76,Insumos,2)</f>
        <v>cuadrilla tipo UOCRA</v>
      </c>
      <c r="C76" s="6" t="str">
        <f>VLOOKUP(A76,Insumos,3)</f>
        <v>h</v>
      </c>
      <c r="D76" s="51">
        <v>0.5</v>
      </c>
      <c r="E76" s="51">
        <f>VLOOKUP(A76,'IN-04-14'!A76:D950,4)</f>
        <v>58.06</v>
      </c>
      <c r="F76" s="69">
        <f>(D76*E76)</f>
        <v>29.03</v>
      </c>
    </row>
    <row r="77" spans="1:6" ht="12.75">
      <c r="A77" s="82" t="s">
        <v>352</v>
      </c>
      <c r="D77" s="51"/>
      <c r="E77" s="51"/>
      <c r="F77" s="69"/>
    </row>
    <row r="78" spans="1:6" ht="12.75">
      <c r="A78" s="3" t="s">
        <v>1637</v>
      </c>
      <c r="B78" s="4" t="str">
        <f>VLOOKUP(A78,Insumos,2)</f>
        <v>canasta 1 (camión volcador)</v>
      </c>
      <c r="C78" s="6" t="str">
        <f>VLOOKUP(A78,Insumos,3)</f>
        <v>h</v>
      </c>
      <c r="D78" s="51">
        <v>0.003</v>
      </c>
      <c r="E78" s="51">
        <f>VLOOKUP(A78,'IN-04-14'!A78:D952,4)</f>
        <v>501.17</v>
      </c>
      <c r="F78" s="69">
        <f>(D78*E78)</f>
        <v>1.5035100000000001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8"/>
  </sheetPr>
  <dimension ref="A1:G7"/>
  <sheetViews>
    <sheetView showGridLines="0" zoomScale="90" zoomScaleNormal="90" zoomScaleSheetLayoutView="75" zoomScalePageLayoutView="0" workbookViewId="0" topLeftCell="A1">
      <selection activeCell="E13" sqref="E1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221" t="s">
        <v>1730</v>
      </c>
      <c r="C2" s="77" t="str">
        <f>Fecha</f>
        <v>abr-2014</v>
      </c>
      <c r="D2" s="48"/>
      <c r="E2" s="48"/>
      <c r="F2" s="222">
        <f>SUM(F5:F7)</f>
        <v>176.33903500000002</v>
      </c>
      <c r="G2" s="41"/>
    </row>
    <row r="3" spans="1:7" ht="13.5" thickBot="1">
      <c r="A3" s="7" t="s">
        <v>345</v>
      </c>
      <c r="B3" s="7" t="s">
        <v>1731</v>
      </c>
      <c r="C3" s="78" t="s">
        <v>344</v>
      </c>
      <c r="D3" s="49" t="s">
        <v>1759</v>
      </c>
      <c r="E3" s="50"/>
      <c r="F3" s="68"/>
      <c r="G3" s="42" t="s">
        <v>1937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1664</v>
      </c>
      <c r="B5" s="4" t="str">
        <f>VLOOKUP(A5,'IN-04-14'!$A$5:$D$441,2)</f>
        <v>vidrio doble transparente</v>
      </c>
      <c r="C5" s="4" t="str">
        <f>VLOOKUP(A5,'IN-04-14'!$A$5:$D$441,3)</f>
        <v>m2</v>
      </c>
      <c r="D5" s="51">
        <v>1.05</v>
      </c>
      <c r="E5" s="91">
        <f>VLOOKUP(A5,'IN-04-14'!$A$5:$D$441,4)</f>
        <v>112.6467</v>
      </c>
      <c r="F5" s="69">
        <f>(D5*E5)</f>
        <v>118.27903500000001</v>
      </c>
    </row>
    <row r="6" spans="1:6" ht="12.75">
      <c r="A6" s="82" t="s">
        <v>351</v>
      </c>
      <c r="D6" s="51"/>
      <c r="E6" s="91"/>
      <c r="F6" s="69"/>
    </row>
    <row r="7" spans="1:6" ht="12.75">
      <c r="A7" s="3" t="s">
        <v>1636</v>
      </c>
      <c r="B7" s="4" t="str">
        <f>VLOOKUP(A7,Insumos,2)</f>
        <v>cuadrilla tipo UOCRA</v>
      </c>
      <c r="C7" s="6" t="str">
        <f>VLOOKUP(A7,Insumos,3)</f>
        <v>h</v>
      </c>
      <c r="D7" s="51">
        <v>1</v>
      </c>
      <c r="E7" s="91">
        <f>VLOOKUP(A7,'IN-04-14'!$A$5:$D$441,4)</f>
        <v>58.06</v>
      </c>
      <c r="F7" s="69">
        <f>(D7*E7)</f>
        <v>58.06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T880"/>
  <sheetViews>
    <sheetView showGridLines="0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2" sqref="A2:G2"/>
    </sheetView>
  </sheetViews>
  <sheetFormatPr defaultColWidth="9.796875" defaultRowHeight="15"/>
  <cols>
    <col min="1" max="1" width="9.3984375" style="31" customWidth="1"/>
    <col min="2" max="2" width="50.296875" style="251" customWidth="1"/>
    <col min="3" max="3" width="5.796875" style="15" customWidth="1"/>
    <col min="4" max="4" width="16.09765625" style="269" bestFit="1" customWidth="1"/>
    <col min="5" max="5" width="11.796875" style="266" hidden="1" customWidth="1"/>
    <col min="6" max="6" width="20.296875" style="404" hidden="1" customWidth="1"/>
    <col min="7" max="7" width="11.69921875" style="268" hidden="1" customWidth="1"/>
    <col min="8" max="8" width="11.796875" style="251" hidden="1" customWidth="1"/>
    <col min="9" max="9" width="19.09765625" style="251" hidden="1" customWidth="1"/>
    <col min="10" max="10" width="13.69921875" style="251" hidden="1" customWidth="1"/>
    <col min="11" max="11" width="19.296875" style="251" hidden="1" customWidth="1"/>
    <col min="12" max="12" width="10.3984375" style="251" hidden="1" customWidth="1"/>
    <col min="13" max="13" width="5.19921875" style="251" hidden="1" customWidth="1"/>
    <col min="14" max="14" width="7.09765625" style="251" hidden="1" customWidth="1"/>
    <col min="15" max="15" width="10.59765625" style="251" hidden="1" customWidth="1"/>
    <col min="16" max="16" width="1.2890625" style="251" customWidth="1"/>
    <col min="17" max="17" width="9.796875" style="408" customWidth="1"/>
    <col min="18" max="16384" width="9.796875" style="15" customWidth="1"/>
  </cols>
  <sheetData>
    <row r="1" spans="1:15" ht="16.5">
      <c r="A1" s="420" t="str">
        <f>CONCATENATE("PRECIOS TESTIGOS ",D3)</f>
        <v>PRECIOS TESTIGOS abr-2014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</row>
    <row r="2" spans="1:9" ht="30">
      <c r="A2" s="419" t="s">
        <v>367</v>
      </c>
      <c r="B2" s="419"/>
      <c r="C2" s="419"/>
      <c r="D2" s="419"/>
      <c r="E2" s="419"/>
      <c r="F2" s="419"/>
      <c r="G2" s="419"/>
      <c r="I2" s="264" t="s">
        <v>1276</v>
      </c>
    </row>
    <row r="3" spans="1:8" ht="15.75">
      <c r="A3" s="31" t="s">
        <v>367</v>
      </c>
      <c r="C3" s="141" t="s">
        <v>1478</v>
      </c>
      <c r="D3" s="265" t="s">
        <v>2028</v>
      </c>
      <c r="F3" s="267"/>
      <c r="G3" s="268" t="s">
        <v>367</v>
      </c>
      <c r="H3" s="260" t="s">
        <v>367</v>
      </c>
    </row>
    <row r="4" spans="5:7" ht="26.25" thickBot="1">
      <c r="E4" s="270" t="s">
        <v>367</v>
      </c>
      <c r="F4" s="267" t="s">
        <v>1144</v>
      </c>
      <c r="G4" s="268" t="s">
        <v>367</v>
      </c>
    </row>
    <row r="5" spans="1:15" ht="32.25" thickBot="1">
      <c r="A5" s="140" t="s">
        <v>1920</v>
      </c>
      <c r="B5" s="252" t="s">
        <v>1921</v>
      </c>
      <c r="C5" s="139" t="s">
        <v>178</v>
      </c>
      <c r="D5" s="271" t="s">
        <v>35</v>
      </c>
      <c r="E5" s="272" t="s">
        <v>33</v>
      </c>
      <c r="F5" s="273" t="s">
        <v>34</v>
      </c>
      <c r="G5" s="274" t="s">
        <v>367</v>
      </c>
      <c r="L5" s="275" t="s">
        <v>1181</v>
      </c>
      <c r="O5" s="276" t="s">
        <v>1476</v>
      </c>
    </row>
    <row r="6" spans="1:15" ht="15" customHeight="1">
      <c r="A6" s="131" t="s">
        <v>1681</v>
      </c>
      <c r="B6" s="253" t="s">
        <v>1960</v>
      </c>
      <c r="C6" s="132" t="s">
        <v>1961</v>
      </c>
      <c r="D6" s="277">
        <f>LOOKUP(A6,'[3]PT'!$A$2:$A$725,'[3]PT'!$D$2:$D$725)</f>
        <v>563.84</v>
      </c>
      <c r="E6" s="278">
        <v>107.619</v>
      </c>
      <c r="F6" s="279" t="s">
        <v>367</v>
      </c>
      <c r="G6" s="280" t="s">
        <v>367</v>
      </c>
      <c r="H6" s="281" t="s">
        <v>1180</v>
      </c>
      <c r="L6" s="251">
        <v>3</v>
      </c>
      <c r="O6" s="282" t="e">
        <f>#REF!/#REF!</f>
        <v>#REF!</v>
      </c>
    </row>
    <row r="7" spans="1:15" ht="15">
      <c r="A7" s="133" t="s">
        <v>1638</v>
      </c>
      <c r="B7" s="254" t="s">
        <v>1958</v>
      </c>
      <c r="C7" s="127" t="s">
        <v>1966</v>
      </c>
      <c r="D7" s="277">
        <f>LOOKUP(A7,'[3]PT'!$A$2:$A$725,'[3]PT'!$D$2:$D$725)</f>
        <v>9.3933</v>
      </c>
      <c r="E7" s="283">
        <v>1.831</v>
      </c>
      <c r="F7" s="284" t="s">
        <v>367</v>
      </c>
      <c r="G7" s="285" t="s">
        <v>367</v>
      </c>
      <c r="L7" s="251">
        <v>3</v>
      </c>
      <c r="O7" s="282" t="e">
        <f>D7/#REF!</f>
        <v>#REF!</v>
      </c>
    </row>
    <row r="8" spans="1:15" ht="15">
      <c r="A8" s="133" t="s">
        <v>395</v>
      </c>
      <c r="B8" s="254" t="s">
        <v>396</v>
      </c>
      <c r="C8" s="127" t="s">
        <v>397</v>
      </c>
      <c r="D8" s="277">
        <f>LOOKUP(A8,'[3]PT'!$A$2:$A$725,'[3]PT'!$D$2:$D$725)</f>
        <v>10041.8</v>
      </c>
      <c r="E8" s="283">
        <v>1831.067</v>
      </c>
      <c r="F8" s="284" t="s">
        <v>367</v>
      </c>
      <c r="G8" s="285" t="s">
        <v>367</v>
      </c>
      <c r="H8" s="286"/>
      <c r="L8" s="251">
        <v>3</v>
      </c>
      <c r="O8" s="282" t="e">
        <f>D8/#REF!</f>
        <v>#REF!</v>
      </c>
    </row>
    <row r="9" spans="1:15" ht="15">
      <c r="A9" s="133" t="s">
        <v>1643</v>
      </c>
      <c r="B9" s="254" t="s">
        <v>1959</v>
      </c>
      <c r="C9" s="127" t="s">
        <v>1966</v>
      </c>
      <c r="D9" s="277">
        <f>LOOKUP(A9,'[3]PT'!$A$2:$A$725,'[3]PT'!$D$2:$D$725)</f>
        <v>16.6955</v>
      </c>
      <c r="E9" s="283">
        <v>2.353</v>
      </c>
      <c r="F9" s="287" t="s">
        <v>367</v>
      </c>
      <c r="G9" s="285" t="s">
        <v>367</v>
      </c>
      <c r="L9" s="251">
        <v>3</v>
      </c>
      <c r="O9" s="282" t="e">
        <f>D9/#REF!</f>
        <v>#REF!</v>
      </c>
    </row>
    <row r="10" spans="1:15" ht="15">
      <c r="A10" s="133" t="s">
        <v>1660</v>
      </c>
      <c r="B10" s="254" t="s">
        <v>36</v>
      </c>
      <c r="C10" s="127" t="s">
        <v>178</v>
      </c>
      <c r="D10" s="277">
        <f>LOOKUP(A10,'[3]PT'!$A$2:$A$725,'[3]PT'!$D$2:$D$725)</f>
        <v>18.6167</v>
      </c>
      <c r="E10" s="283">
        <v>4.118</v>
      </c>
      <c r="F10" s="287" t="s">
        <v>367</v>
      </c>
      <c r="G10" s="285" t="s">
        <v>367</v>
      </c>
      <c r="L10" s="251">
        <v>3</v>
      </c>
      <c r="O10" s="282" t="e">
        <f>D10/#REF!</f>
        <v>#REF!</v>
      </c>
    </row>
    <row r="11" spans="1:17" ht="15">
      <c r="A11" s="133" t="s">
        <v>1767</v>
      </c>
      <c r="B11" s="254" t="s">
        <v>1962</v>
      </c>
      <c r="C11" s="127" t="s">
        <v>1966</v>
      </c>
      <c r="D11" s="277">
        <f>LOOKUP(A11,'[3]PT'!$A$2:$A$725,'[3]PT'!$D$2:$D$725)</f>
        <v>15.6414</v>
      </c>
      <c r="E11" s="283">
        <v>2.235</v>
      </c>
      <c r="F11" s="287" t="s">
        <v>367</v>
      </c>
      <c r="G11" s="285" t="s">
        <v>367</v>
      </c>
      <c r="L11" s="251">
        <v>3</v>
      </c>
      <c r="O11" s="282" t="e">
        <f>D11/#REF!</f>
        <v>#REF!</v>
      </c>
      <c r="Q11" s="409"/>
    </row>
    <row r="12" spans="1:17" ht="15">
      <c r="A12" s="133" t="s">
        <v>1762</v>
      </c>
      <c r="B12" s="254" t="s">
        <v>1963</v>
      </c>
      <c r="C12" s="127" t="s">
        <v>1966</v>
      </c>
      <c r="D12" s="277">
        <f>LOOKUP(A12,'[3]PT'!$A$2:$A$725,'[3]PT'!$D$2:$D$725)</f>
        <v>13.52</v>
      </c>
      <c r="E12" s="283">
        <v>2.86</v>
      </c>
      <c r="F12" s="287" t="s">
        <v>367</v>
      </c>
      <c r="G12" s="285" t="s">
        <v>367</v>
      </c>
      <c r="L12" s="251">
        <v>3</v>
      </c>
      <c r="O12" s="282" t="e">
        <f>D12/#REF!</f>
        <v>#REF!</v>
      </c>
      <c r="Q12" s="410"/>
    </row>
    <row r="13" spans="1:17" ht="15">
      <c r="A13" s="133" t="s">
        <v>398</v>
      </c>
      <c r="B13" s="254" t="s">
        <v>399</v>
      </c>
      <c r="C13" s="127" t="s">
        <v>1966</v>
      </c>
      <c r="D13" s="277">
        <f>LOOKUP(A13,'[3]PT'!$A$2:$A$725,'[3]PT'!$D$2:$D$725)</f>
        <v>12.7367</v>
      </c>
      <c r="E13" s="283">
        <v>2.738</v>
      </c>
      <c r="F13" s="287" t="s">
        <v>367</v>
      </c>
      <c r="G13" s="288" t="s">
        <v>367</v>
      </c>
      <c r="J13" s="289"/>
      <c r="L13" s="251">
        <v>3</v>
      </c>
      <c r="O13" s="282" t="e">
        <f>D13/#REF!</f>
        <v>#REF!</v>
      </c>
      <c r="Q13" s="410"/>
    </row>
    <row r="14" spans="1:17" ht="15">
      <c r="A14" s="133" t="s">
        <v>1785</v>
      </c>
      <c r="B14" s="254" t="s">
        <v>2005</v>
      </c>
      <c r="C14" s="127" t="s">
        <v>1810</v>
      </c>
      <c r="D14" s="277">
        <f>LOOKUP(A14,'[3]PT'!$A$2:$A$725,'[3]PT'!$D$2:$D$725)</f>
        <v>42.675</v>
      </c>
      <c r="E14" s="283">
        <v>5.975</v>
      </c>
      <c r="F14" s="287" t="s">
        <v>367</v>
      </c>
      <c r="G14" s="285" t="s">
        <v>367</v>
      </c>
      <c r="H14" s="251">
        <v>5047</v>
      </c>
      <c r="L14" s="251">
        <v>3</v>
      </c>
      <c r="O14" s="282" t="e">
        <f>D14/#REF!</f>
        <v>#REF!</v>
      </c>
      <c r="P14" s="281"/>
      <c r="Q14" s="411"/>
    </row>
    <row r="15" spans="1:17" ht="15">
      <c r="A15" s="133" t="s">
        <v>400</v>
      </c>
      <c r="B15" s="254" t="s">
        <v>401</v>
      </c>
      <c r="C15" s="127" t="s">
        <v>1966</v>
      </c>
      <c r="D15" s="277">
        <f>LOOKUP(A15,'[3]PT'!$A$2:$A$725,'[3]PT'!$D$2:$D$725)</f>
        <v>11.9433</v>
      </c>
      <c r="E15" s="283">
        <v>2.747</v>
      </c>
      <c r="F15" s="287" t="s">
        <v>367</v>
      </c>
      <c r="G15" s="288" t="s">
        <v>367</v>
      </c>
      <c r="H15" s="251">
        <f>4-16</f>
        <v>-12</v>
      </c>
      <c r="L15" s="251">
        <v>3</v>
      </c>
      <c r="O15" s="282" t="e">
        <f>D15/#REF!</f>
        <v>#REF!</v>
      </c>
      <c r="P15" s="281"/>
      <c r="Q15" s="411"/>
    </row>
    <row r="16" spans="1:17" ht="15">
      <c r="A16" s="133" t="s">
        <v>1786</v>
      </c>
      <c r="B16" s="254" t="s">
        <v>2006</v>
      </c>
      <c r="C16" s="127" t="s">
        <v>1810</v>
      </c>
      <c r="D16" s="277">
        <f>LOOKUP(A16,'[3]PT'!$A$2:$A$725,'[3]PT'!$D$2:$D$725)</f>
        <v>0.9301</v>
      </c>
      <c r="E16" s="283">
        <v>0.146</v>
      </c>
      <c r="F16" s="287" t="s">
        <v>367</v>
      </c>
      <c r="G16" s="285" t="s">
        <v>367</v>
      </c>
      <c r="H16" s="251">
        <f>5-55</f>
        <v>-50</v>
      </c>
      <c r="L16" s="251">
        <v>3</v>
      </c>
      <c r="O16" s="282" t="e">
        <f>D16/#REF!</f>
        <v>#REF!</v>
      </c>
      <c r="P16" s="281"/>
      <c r="Q16" s="410"/>
    </row>
    <row r="17" spans="1:16" ht="15">
      <c r="A17" s="133" t="s">
        <v>402</v>
      </c>
      <c r="B17" s="254" t="s">
        <v>403</v>
      </c>
      <c r="C17" s="127" t="s">
        <v>404</v>
      </c>
      <c r="D17" s="277">
        <f>LOOKUP(A17,'[3]PT'!$A$2:$A$725,'[3]PT'!$D$2:$D$725)</f>
        <v>1.0433</v>
      </c>
      <c r="E17" s="283">
        <v>0.162</v>
      </c>
      <c r="F17" s="287" t="s">
        <v>367</v>
      </c>
      <c r="G17" s="288" t="s">
        <v>367</v>
      </c>
      <c r="H17" s="251">
        <f>5-10</f>
        <v>-5</v>
      </c>
      <c r="L17" s="251">
        <v>3</v>
      </c>
      <c r="O17" s="282" t="e">
        <f>D17/#REF!</f>
        <v>#REF!</v>
      </c>
      <c r="P17" s="281"/>
    </row>
    <row r="18" spans="1:16" ht="15">
      <c r="A18" s="133" t="s">
        <v>1788</v>
      </c>
      <c r="B18" s="254" t="s">
        <v>2007</v>
      </c>
      <c r="C18" s="127" t="s">
        <v>1810</v>
      </c>
      <c r="D18" s="277">
        <f>LOOKUP(A18,'[3]PT'!$A$2:$A$725,'[3]PT'!$D$2:$D$725)</f>
        <v>4.4167</v>
      </c>
      <c r="E18" s="283">
        <v>0.996</v>
      </c>
      <c r="F18" s="287" t="s">
        <v>367</v>
      </c>
      <c r="G18" s="285" t="s">
        <v>367</v>
      </c>
      <c r="H18" s="251">
        <f>24-1</f>
        <v>23</v>
      </c>
      <c r="L18" s="251">
        <v>3</v>
      </c>
      <c r="O18" s="282" t="e">
        <f>D18/#REF!</f>
        <v>#REF!</v>
      </c>
      <c r="P18" s="281"/>
    </row>
    <row r="19" spans="1:16" ht="15">
      <c r="A19" s="133" t="s">
        <v>1278</v>
      </c>
      <c r="B19" s="254" t="s">
        <v>1279</v>
      </c>
      <c r="C19" s="127" t="s">
        <v>1810</v>
      </c>
      <c r="D19" s="277">
        <f>LOOKUP(A19,'[3]PT'!$A$2:$A$725,'[3]PT'!$D$2:$D$725)</f>
        <v>4.6467</v>
      </c>
      <c r="E19" s="290">
        <f>1.35/1.21</f>
        <v>1.115702479338843</v>
      </c>
      <c r="F19" s="287" t="s">
        <v>367</v>
      </c>
      <c r="G19" s="285" t="s">
        <v>367</v>
      </c>
      <c r="H19" s="251">
        <f>24-2</f>
        <v>22</v>
      </c>
      <c r="O19" s="282" t="e">
        <f>D19/#REF!</f>
        <v>#REF!</v>
      </c>
      <c r="P19" s="281"/>
    </row>
    <row r="20" spans="1:16" ht="15">
      <c r="A20" s="213" t="s">
        <v>1289</v>
      </c>
      <c r="B20" s="254" t="s">
        <v>1290</v>
      </c>
      <c r="C20" s="127" t="s">
        <v>178</v>
      </c>
      <c r="D20" s="277">
        <f>LOOKUP(A20,'[3]PT'!$A$2:$A$725,'[3]PT'!$D$2:$D$725)</f>
        <v>1.99</v>
      </c>
      <c r="E20" s="283">
        <v>0.149</v>
      </c>
      <c r="F20" s="287" t="s">
        <v>367</v>
      </c>
      <c r="G20" s="285" t="s">
        <v>367</v>
      </c>
      <c r="O20" s="282" t="e">
        <f>D20/#REF!</f>
        <v>#REF!</v>
      </c>
      <c r="P20" s="281"/>
    </row>
    <row r="21" spans="1:16" ht="15">
      <c r="A21" s="213" t="s">
        <v>1787</v>
      </c>
      <c r="B21" s="254" t="s">
        <v>2008</v>
      </c>
      <c r="C21" s="127" t="s">
        <v>178</v>
      </c>
      <c r="D21" s="277">
        <f>LOOKUP(A21,'[3]PT'!$A$2:$A$725,'[3]PT'!$D$2:$D$725)</f>
        <v>5.625</v>
      </c>
      <c r="E21" s="283">
        <v>0.793</v>
      </c>
      <c r="F21" s="287" t="s">
        <v>367</v>
      </c>
      <c r="G21" s="285" t="s">
        <v>367</v>
      </c>
      <c r="L21" s="251">
        <v>3</v>
      </c>
      <c r="O21" s="282" t="e">
        <f>D21/#REF!</f>
        <v>#REF!</v>
      </c>
      <c r="P21" s="281"/>
    </row>
    <row r="22" spans="1:16" ht="15">
      <c r="A22" s="213" t="s">
        <v>405</v>
      </c>
      <c r="B22" s="254" t="s">
        <v>1260</v>
      </c>
      <c r="C22" s="127" t="s">
        <v>178</v>
      </c>
      <c r="D22" s="277">
        <f>LOOKUP(A22,'[3]PT'!$A$2:$A$725,'[3]PT'!$D$2:$D$725)</f>
        <v>26.35</v>
      </c>
      <c r="E22" s="283">
        <v>2.659</v>
      </c>
      <c r="F22" s="287" t="s">
        <v>367</v>
      </c>
      <c r="G22" s="288" t="s">
        <v>367</v>
      </c>
      <c r="H22" s="251">
        <v>5722</v>
      </c>
      <c r="L22" s="251">
        <v>3</v>
      </c>
      <c r="O22" s="282" t="e">
        <f>D22/#REF!</f>
        <v>#REF!</v>
      </c>
      <c r="P22" s="281"/>
    </row>
    <row r="23" spans="1:16" ht="15">
      <c r="A23" s="213" t="s">
        <v>406</v>
      </c>
      <c r="B23" s="254" t="s">
        <v>407</v>
      </c>
      <c r="C23" s="127" t="s">
        <v>397</v>
      </c>
      <c r="D23" s="277">
        <f>LOOKUP(A23,'[3]PT'!$A$2:$A$725,'[3]PT'!$D$2:$D$725)</f>
        <v>11646.32</v>
      </c>
      <c r="E23" s="291">
        <f>(4270)/1.21*1.06</f>
        <v>3740.6611570247937</v>
      </c>
      <c r="F23" s="287"/>
      <c r="G23" s="292"/>
      <c r="H23" s="251" t="s">
        <v>1237</v>
      </c>
      <c r="L23" s="251">
        <v>1</v>
      </c>
      <c r="O23" s="282" t="e">
        <f>D23/#REF!</f>
        <v>#REF!</v>
      </c>
      <c r="P23" s="281"/>
    </row>
    <row r="24" spans="1:16" ht="15">
      <c r="A24" s="213" t="s">
        <v>1512</v>
      </c>
      <c r="B24" s="254" t="s">
        <v>1513</v>
      </c>
      <c r="C24" s="127" t="s">
        <v>1810</v>
      </c>
      <c r="D24" s="277">
        <f>LOOKUP(A24,'[3]PT'!$A$2:$A$725,'[3]PT'!$D$2:$D$725)</f>
        <v>15.97</v>
      </c>
      <c r="E24" s="291"/>
      <c r="F24" s="287"/>
      <c r="G24" s="292"/>
      <c r="O24" s="282"/>
      <c r="P24" s="281"/>
    </row>
    <row r="25" spans="1:16" ht="15">
      <c r="A25" s="213" t="s">
        <v>1514</v>
      </c>
      <c r="B25" s="254" t="s">
        <v>1515</v>
      </c>
      <c r="C25" s="127" t="s">
        <v>1810</v>
      </c>
      <c r="D25" s="277">
        <f>LOOKUP(A25,'[3]PT'!$A$2:$A$725,'[3]PT'!$D$2:$D$725)</f>
        <v>21.37</v>
      </c>
      <c r="E25" s="291"/>
      <c r="F25" s="287"/>
      <c r="G25" s="292"/>
      <c r="O25" s="282"/>
      <c r="P25" s="281"/>
    </row>
    <row r="26" spans="1:16" ht="30">
      <c r="A26" s="213" t="s">
        <v>37</v>
      </c>
      <c r="B26" s="254" t="s">
        <v>38</v>
      </c>
      <c r="C26" s="127" t="s">
        <v>348</v>
      </c>
      <c r="D26" s="277">
        <f>LOOKUP(A26,'[3]PT'!$A$2:$A$725,'[3]PT'!$D$2:$D$725)</f>
        <v>11.225</v>
      </c>
      <c r="E26" s="293">
        <v>1.537</v>
      </c>
      <c r="F26" s="284" t="s">
        <v>367</v>
      </c>
      <c r="G26" s="285"/>
      <c r="H26" s="281" t="s">
        <v>1146</v>
      </c>
      <c r="L26" s="251">
        <v>2</v>
      </c>
      <c r="O26" s="282" t="e">
        <f>D26/#REF!</f>
        <v>#REF!</v>
      </c>
      <c r="P26" s="281"/>
    </row>
    <row r="27" spans="1:16" ht="15">
      <c r="A27" s="213" t="s">
        <v>39</v>
      </c>
      <c r="B27" s="254" t="s">
        <v>40</v>
      </c>
      <c r="C27" s="127" t="s">
        <v>348</v>
      </c>
      <c r="D27" s="277">
        <f>LOOKUP(A27,'[3]PT'!$A$2:$A$725,'[3]PT'!$D$2:$D$725)</f>
        <v>10.005</v>
      </c>
      <c r="E27" s="293">
        <v>1.139</v>
      </c>
      <c r="F27" s="284" t="s">
        <v>367</v>
      </c>
      <c r="G27" s="285"/>
      <c r="L27" s="251">
        <v>2</v>
      </c>
      <c r="O27" s="282" t="e">
        <f>D27/#REF!</f>
        <v>#REF!</v>
      </c>
      <c r="P27" s="281"/>
    </row>
    <row r="28" spans="1:16" ht="15">
      <c r="A28" s="133" t="s">
        <v>41</v>
      </c>
      <c r="B28" s="254" t="s">
        <v>42</v>
      </c>
      <c r="C28" s="127" t="s">
        <v>1937</v>
      </c>
      <c r="D28" s="277">
        <f>LOOKUP(A28,'[3]PT'!$A$2:$A$725,'[3]PT'!$D$2:$D$725)</f>
        <v>10.005</v>
      </c>
      <c r="E28" s="293">
        <f>0.64*D195</f>
        <v>5.2224</v>
      </c>
      <c r="F28" s="294"/>
      <c r="G28" s="295"/>
      <c r="L28" s="251">
        <v>1</v>
      </c>
      <c r="O28" s="282" t="e">
        <f>D28/#REF!</f>
        <v>#REF!</v>
      </c>
      <c r="P28" s="281"/>
    </row>
    <row r="29" spans="1:20" ht="15">
      <c r="A29" s="213" t="s">
        <v>2027</v>
      </c>
      <c r="B29" s="254" t="s">
        <v>513</v>
      </c>
      <c r="C29" s="127" t="s">
        <v>1937</v>
      </c>
      <c r="D29" s="277">
        <f>LOOKUP(A29,'[3]PT'!$A$2:$A$725,'[3]PT'!$D$2:$D$725)</f>
        <v>147</v>
      </c>
      <c r="E29" s="291"/>
      <c r="F29" s="287"/>
      <c r="G29" s="292"/>
      <c r="O29" s="282"/>
      <c r="P29" s="281"/>
      <c r="T29" s="125"/>
    </row>
    <row r="30" spans="1:16" ht="15">
      <c r="A30" s="213" t="s">
        <v>514</v>
      </c>
      <c r="B30" s="254" t="s">
        <v>43</v>
      </c>
      <c r="C30" s="127" t="s">
        <v>1937</v>
      </c>
      <c r="D30" s="277">
        <f>LOOKUP(A30,'[3]PT'!$A$2:$A$725,'[3]PT'!$D$2:$D$725)</f>
        <v>38.11</v>
      </c>
      <c r="E30" s="293">
        <v>3.58</v>
      </c>
      <c r="F30" s="294"/>
      <c r="G30" s="295"/>
      <c r="L30" s="251">
        <v>1</v>
      </c>
      <c r="O30" s="282" t="e">
        <f>D30/#REF!</f>
        <v>#REF!</v>
      </c>
      <c r="P30" s="281"/>
    </row>
    <row r="31" spans="1:15" ht="15">
      <c r="A31" s="133" t="s">
        <v>1941</v>
      </c>
      <c r="B31" s="254" t="s">
        <v>1942</v>
      </c>
      <c r="C31" s="127" t="s">
        <v>348</v>
      </c>
      <c r="D31" s="277">
        <f>LOOKUP(A31,'[3]PT'!$A$2:$A$725,'[3]PT'!$D$2:$D$725)</f>
        <v>38.11</v>
      </c>
      <c r="E31" s="293">
        <v>3.683</v>
      </c>
      <c r="F31" s="294"/>
      <c r="G31" s="295"/>
      <c r="I31" s="251">
        <v>17454.6</v>
      </c>
      <c r="L31" s="251">
        <v>1</v>
      </c>
      <c r="O31" s="282" t="e">
        <f>D31/#REF!</f>
        <v>#REF!</v>
      </c>
    </row>
    <row r="32" spans="1:15" ht="15">
      <c r="A32" s="213" t="s">
        <v>517</v>
      </c>
      <c r="B32" s="254" t="s">
        <v>1899</v>
      </c>
      <c r="C32" s="127" t="s">
        <v>348</v>
      </c>
      <c r="D32" s="277">
        <f>LOOKUP(A32,'[3]PT'!$A$2:$A$725,'[3]PT'!$D$2:$D$725)</f>
        <v>6.6233</v>
      </c>
      <c r="E32" s="293">
        <v>0.689</v>
      </c>
      <c r="F32" s="284" t="s">
        <v>367</v>
      </c>
      <c r="G32" s="295"/>
      <c r="I32" s="251">
        <v>9203.98</v>
      </c>
      <c r="J32" s="251">
        <f>I31-I32</f>
        <v>8250.619999999999</v>
      </c>
      <c r="L32" s="251">
        <v>2</v>
      </c>
      <c r="O32" s="282" t="e">
        <f>D32/#REF!</f>
        <v>#REF!</v>
      </c>
    </row>
    <row r="33" spans="1:15" ht="15">
      <c r="A33" s="213" t="s">
        <v>519</v>
      </c>
      <c r="B33" s="254" t="s">
        <v>1936</v>
      </c>
      <c r="C33" s="127" t="s">
        <v>1937</v>
      </c>
      <c r="D33" s="277">
        <f>LOOKUP(A33,'[3]PT'!$A$2:$A$725,'[3]PT'!$D$2:$D$725)</f>
        <v>27.9993</v>
      </c>
      <c r="E33" s="293">
        <v>7.594</v>
      </c>
      <c r="F33" s="294"/>
      <c r="G33" s="295"/>
      <c r="I33" s="251">
        <f>I31/I32</f>
        <v>1.8964187232045266</v>
      </c>
      <c r="L33" s="251">
        <v>1</v>
      </c>
      <c r="O33" s="282" t="e">
        <f>D33/#REF!</f>
        <v>#REF!</v>
      </c>
    </row>
    <row r="34" spans="1:15" ht="15">
      <c r="A34" s="133" t="s">
        <v>1938</v>
      </c>
      <c r="B34" s="254" t="s">
        <v>1939</v>
      </c>
      <c r="C34" s="127" t="s">
        <v>1937</v>
      </c>
      <c r="D34" s="277">
        <f>LOOKUP(A34,'[3]PT'!$A$2:$A$725,'[3]PT'!$D$2:$D$725)</f>
        <v>22.86</v>
      </c>
      <c r="E34" s="293">
        <f>4.365/1.21</f>
        <v>3.607438016528926</v>
      </c>
      <c r="F34" s="294"/>
      <c r="G34" s="295"/>
      <c r="L34" s="251">
        <v>1</v>
      </c>
      <c r="O34" s="282" t="e">
        <f>D34/#REF!</f>
        <v>#REF!</v>
      </c>
    </row>
    <row r="35" spans="1:15" ht="15">
      <c r="A35" s="133" t="s">
        <v>44</v>
      </c>
      <c r="B35" s="254" t="s">
        <v>45</v>
      </c>
      <c r="C35" s="127" t="s">
        <v>1966</v>
      </c>
      <c r="D35" s="277">
        <f>LOOKUP(A35,'[3]PT'!$A$2:$A$725,'[3]PT'!$D$2:$D$725)</f>
        <v>9.16</v>
      </c>
      <c r="E35" s="293">
        <v>2.177</v>
      </c>
      <c r="F35" s="284" t="s">
        <v>367</v>
      </c>
      <c r="G35" s="292"/>
      <c r="H35" s="296"/>
      <c r="L35" s="251">
        <v>2</v>
      </c>
      <c r="O35" s="282" t="e">
        <f>D35/#REF!</f>
        <v>#REF!</v>
      </c>
    </row>
    <row r="36" spans="1:15" ht="15" customHeight="1">
      <c r="A36" s="133" t="s">
        <v>46</v>
      </c>
      <c r="B36" s="254" t="s">
        <v>47</v>
      </c>
      <c r="C36" s="127" t="s">
        <v>1937</v>
      </c>
      <c r="D36" s="277">
        <f>LOOKUP(A36,'[3]PT'!$A$2:$A$725,'[3]PT'!$D$2:$D$725)</f>
        <v>2.35</v>
      </c>
      <c r="E36" s="290"/>
      <c r="F36" s="284"/>
      <c r="G36" s="297">
        <f>1.15/1.8</f>
        <v>0.6388888888888888</v>
      </c>
      <c r="H36" s="296" t="s">
        <v>1248</v>
      </c>
      <c r="J36" s="251" t="s">
        <v>1147</v>
      </c>
      <c r="L36" s="251">
        <v>1</v>
      </c>
      <c r="O36" s="282" t="e">
        <f>D36/#REF!</f>
        <v>#REF!</v>
      </c>
    </row>
    <row r="37" spans="1:15" ht="15">
      <c r="A37" s="213" t="s">
        <v>522</v>
      </c>
      <c r="B37" s="254" t="s">
        <v>1426</v>
      </c>
      <c r="C37" s="127" t="s">
        <v>1966</v>
      </c>
      <c r="D37" s="277">
        <f>LOOKUP(A37,'[3]PT'!$A$2:$A$725,'[3]PT'!$D$2:$D$725)</f>
        <v>5.69</v>
      </c>
      <c r="E37" s="283">
        <v>1.389</v>
      </c>
      <c r="F37" s="284"/>
      <c r="G37" s="285"/>
      <c r="H37" s="296"/>
      <c r="O37" s="282" t="e">
        <f>D37/#REF!</f>
        <v>#REF!</v>
      </c>
    </row>
    <row r="38" spans="1:15" ht="15">
      <c r="A38" s="133" t="s">
        <v>1654</v>
      </c>
      <c r="B38" s="254" t="s">
        <v>1940</v>
      </c>
      <c r="C38" s="127" t="s">
        <v>348</v>
      </c>
      <c r="D38" s="277">
        <f>LOOKUP(A38,'[3]PT'!$A$2:$A$725,'[3]PT'!$D$2:$D$725)</f>
        <v>7.105</v>
      </c>
      <c r="E38" s="293">
        <v>1.772</v>
      </c>
      <c r="F38" s="284" t="s">
        <v>367</v>
      </c>
      <c r="G38" s="298"/>
      <c r="L38" s="251">
        <v>2</v>
      </c>
      <c r="O38" s="282" t="e">
        <f>D38/#REF!</f>
        <v>#REF!</v>
      </c>
    </row>
    <row r="39" spans="1:15" ht="15">
      <c r="A39" s="133" t="s">
        <v>1645</v>
      </c>
      <c r="B39" s="254" t="s">
        <v>1944</v>
      </c>
      <c r="C39" s="127" t="s">
        <v>1937</v>
      </c>
      <c r="D39" s="277">
        <f>LOOKUP(A39,'[3]PT'!$A$2:$A$725,'[3]PT'!$D$2:$D$725)</f>
        <v>16.9639</v>
      </c>
      <c r="E39" s="290"/>
      <c r="F39" s="294"/>
      <c r="G39" s="297">
        <v>3.3</v>
      </c>
      <c r="H39" s="251" t="s">
        <v>1247</v>
      </c>
      <c r="L39" s="251">
        <v>1</v>
      </c>
      <c r="O39" s="282" t="e">
        <f>D39/#REF!</f>
        <v>#REF!</v>
      </c>
    </row>
    <row r="40" spans="1:18" ht="15">
      <c r="A40" s="133" t="s">
        <v>393</v>
      </c>
      <c r="B40" s="254" t="s">
        <v>1265</v>
      </c>
      <c r="C40" s="127" t="s">
        <v>178</v>
      </c>
      <c r="D40" s="277">
        <v>32.98</v>
      </c>
      <c r="E40" s="290"/>
      <c r="F40" s="294"/>
      <c r="G40" s="297">
        <f>10/1.22/0.61</f>
        <v>13.437248051599031</v>
      </c>
      <c r="H40" s="251">
        <f>0.605*1.215</f>
        <v>0.735075</v>
      </c>
      <c r="L40" s="251">
        <v>1</v>
      </c>
      <c r="O40" s="282" t="e">
        <f>D40/#REF!</f>
        <v>#REF!</v>
      </c>
      <c r="Q40" s="412" t="s">
        <v>2038</v>
      </c>
      <c r="R40" s="15" t="s">
        <v>2037</v>
      </c>
    </row>
    <row r="41" spans="1:15" ht="15">
      <c r="A41" s="133" t="s">
        <v>408</v>
      </c>
      <c r="B41" s="254" t="s">
        <v>409</v>
      </c>
      <c r="C41" s="127" t="s">
        <v>1966</v>
      </c>
      <c r="D41" s="277">
        <f>LOOKUP(A41,'[3]PT'!$A$2:$A$725,'[3]PT'!$D$2:$D$725)</f>
        <v>4.3</v>
      </c>
      <c r="E41" s="299"/>
      <c r="F41" s="287"/>
      <c r="G41" s="300">
        <f>3/1.21</f>
        <v>2.479338842975207</v>
      </c>
      <c r="H41" s="301" t="s">
        <v>1277</v>
      </c>
      <c r="L41" s="251">
        <v>1</v>
      </c>
      <c r="O41" s="282" t="e">
        <f>D41/#REF!</f>
        <v>#REF!</v>
      </c>
    </row>
    <row r="42" spans="1:15" ht="15" customHeight="1">
      <c r="A42" s="133" t="s">
        <v>1641</v>
      </c>
      <c r="B42" s="254" t="s">
        <v>1983</v>
      </c>
      <c r="C42" s="127" t="s">
        <v>1984</v>
      </c>
      <c r="D42" s="277">
        <f>LOOKUP(A42,'[3]PT'!$A$2:$A$725,'[3]PT'!$D$2:$D$725)</f>
        <v>141.805</v>
      </c>
      <c r="E42" s="293">
        <v>17</v>
      </c>
      <c r="F42" s="287" t="s">
        <v>367</v>
      </c>
      <c r="G42" s="285"/>
      <c r="H42" s="251" t="s">
        <v>1148</v>
      </c>
      <c r="L42" s="251">
        <v>2</v>
      </c>
      <c r="O42" s="282" t="e">
        <f>D42/#REF!</f>
        <v>#REF!</v>
      </c>
    </row>
    <row r="43" spans="1:15" ht="15">
      <c r="A43" s="133" t="s">
        <v>48</v>
      </c>
      <c r="B43" s="254" t="s">
        <v>410</v>
      </c>
      <c r="C43" s="127" t="s">
        <v>1984</v>
      </c>
      <c r="D43" s="277">
        <f>LOOKUP(A43,'[3]PT'!$A$2:$A$725,'[3]PT'!$D$2:$D$725)</f>
        <v>144</v>
      </c>
      <c r="E43" s="293">
        <v>12.5</v>
      </c>
      <c r="F43" s="287" t="s">
        <v>367</v>
      </c>
      <c r="G43" s="285"/>
      <c r="L43" s="251">
        <v>2</v>
      </c>
      <c r="O43" s="282" t="e">
        <f>D43/#REF!</f>
        <v>#REF!</v>
      </c>
    </row>
    <row r="44" spans="1:15" ht="15">
      <c r="A44" s="133" t="s">
        <v>1640</v>
      </c>
      <c r="B44" s="254" t="s">
        <v>1986</v>
      </c>
      <c r="C44" s="127" t="s">
        <v>1984</v>
      </c>
      <c r="D44" s="277">
        <f>LOOKUP(A44,'[3]PT'!$A$2:$A$725,'[3]PT'!$D$2:$D$725)</f>
        <v>126.06</v>
      </c>
      <c r="E44" s="293">
        <v>14.25</v>
      </c>
      <c r="F44" s="287" t="s">
        <v>367</v>
      </c>
      <c r="G44" s="285"/>
      <c r="H44" s="296"/>
      <c r="L44" s="251">
        <v>2</v>
      </c>
      <c r="O44" s="282" t="e">
        <f>D44/#REF!</f>
        <v>#REF!</v>
      </c>
    </row>
    <row r="45" spans="1:15" ht="15">
      <c r="A45" s="133" t="s">
        <v>1651</v>
      </c>
      <c r="B45" s="254" t="s">
        <v>1985</v>
      </c>
      <c r="C45" s="127" t="s">
        <v>1984</v>
      </c>
      <c r="D45" s="277">
        <f>LOOKUP(A45,'[3]PT'!$A$2:$A$725,'[3]PT'!$D$2:$D$725)</f>
        <v>142.07</v>
      </c>
      <c r="E45" s="293">
        <v>15.75</v>
      </c>
      <c r="F45" s="287" t="s">
        <v>367</v>
      </c>
      <c r="G45" s="285"/>
      <c r="H45" s="296"/>
      <c r="L45" s="251">
        <v>2</v>
      </c>
      <c r="O45" s="282" t="e">
        <f>D45/#REF!</f>
        <v>#REF!</v>
      </c>
    </row>
    <row r="46" spans="1:15" ht="15">
      <c r="A46" s="133" t="s">
        <v>1912</v>
      </c>
      <c r="B46" s="254" t="s">
        <v>2</v>
      </c>
      <c r="C46" s="127" t="s">
        <v>1984</v>
      </c>
      <c r="D46" s="277">
        <f>LOOKUP(A46,'[3]PT'!$A$2:$A$725,'[3]PT'!$D$2:$D$725)</f>
        <v>119.485</v>
      </c>
      <c r="E46" s="293">
        <v>12.75</v>
      </c>
      <c r="F46" s="287" t="s">
        <v>367</v>
      </c>
      <c r="G46" s="285"/>
      <c r="H46" s="296"/>
      <c r="L46" s="251">
        <v>2</v>
      </c>
      <c r="O46" s="282" t="e">
        <f>D46/#REF!</f>
        <v>#REF!</v>
      </c>
    </row>
    <row r="47" spans="1:15" ht="15">
      <c r="A47" s="133" t="s">
        <v>1911</v>
      </c>
      <c r="B47" s="254" t="s">
        <v>3</v>
      </c>
      <c r="C47" s="127" t="s">
        <v>1984</v>
      </c>
      <c r="D47" s="277">
        <f>LOOKUP(A47,'[3]PT'!$A$2:$A$725,'[3]PT'!$D$2:$D$725)</f>
        <v>155.9867</v>
      </c>
      <c r="E47" s="293">
        <v>17</v>
      </c>
      <c r="F47" s="287" t="s">
        <v>367</v>
      </c>
      <c r="G47" s="285"/>
      <c r="H47" s="296"/>
      <c r="L47" s="251">
        <v>2</v>
      </c>
      <c r="O47" s="282" t="e">
        <f>D47/#REF!</f>
        <v>#REF!</v>
      </c>
    </row>
    <row r="48" spans="1:15" ht="15">
      <c r="A48" s="133" t="s">
        <v>411</v>
      </c>
      <c r="B48" s="254" t="s">
        <v>412</v>
      </c>
      <c r="C48" s="127" t="s">
        <v>1984</v>
      </c>
      <c r="D48" s="277">
        <f>LOOKUP(A48,'[3]PT'!$A$2:$A$725,'[3]PT'!$D$2:$D$725)</f>
        <v>130.86</v>
      </c>
      <c r="E48" s="293">
        <v>14.17</v>
      </c>
      <c r="F48" s="287" t="s">
        <v>367</v>
      </c>
      <c r="G48" s="288" t="s">
        <v>367</v>
      </c>
      <c r="L48" s="251">
        <v>1</v>
      </c>
      <c r="O48" s="282" t="e">
        <f>D48/#REF!</f>
        <v>#REF!</v>
      </c>
    </row>
    <row r="49" spans="1:15" ht="15">
      <c r="A49" s="133" t="s">
        <v>49</v>
      </c>
      <c r="B49" s="254" t="s">
        <v>413</v>
      </c>
      <c r="C49" s="127" t="s">
        <v>1984</v>
      </c>
      <c r="D49" s="277">
        <f>LOOKUP(A49,'[3]PT'!$A$2:$A$725,'[3]PT'!$D$2:$D$725)</f>
        <v>132.5635</v>
      </c>
      <c r="E49" s="293">
        <v>13.057</v>
      </c>
      <c r="F49" s="287" t="s">
        <v>367</v>
      </c>
      <c r="G49" s="288" t="s">
        <v>367</v>
      </c>
      <c r="L49" s="251">
        <v>3</v>
      </c>
      <c r="O49" s="282" t="e">
        <f>D49/#REF!</f>
        <v>#REF!</v>
      </c>
    </row>
    <row r="50" spans="1:15" ht="15">
      <c r="A50" s="133" t="s">
        <v>414</v>
      </c>
      <c r="B50" s="254" t="s">
        <v>415</v>
      </c>
      <c r="C50" s="127" t="s">
        <v>1984</v>
      </c>
      <c r="D50" s="277">
        <f>LOOKUP(A50,'[3]PT'!$A$2:$A$725,'[3]PT'!$D$2:$D$725)</f>
        <v>129.14</v>
      </c>
      <c r="E50" s="299"/>
      <c r="F50" s="287"/>
      <c r="G50" s="288">
        <v>12.5</v>
      </c>
      <c r="L50" s="251">
        <v>1</v>
      </c>
      <c r="O50" s="282" t="e">
        <f>D50/#REF!</f>
        <v>#REF!</v>
      </c>
    </row>
    <row r="51" spans="1:15" ht="15" customHeight="1">
      <c r="A51" s="133" t="s">
        <v>414</v>
      </c>
      <c r="B51" s="254" t="s">
        <v>1230</v>
      </c>
      <c r="C51" s="127" t="s">
        <v>1984</v>
      </c>
      <c r="D51" s="277">
        <f>LOOKUP(A51,'[3]PT'!$A$2:$A$725,'[3]PT'!$D$2:$D$725)</f>
        <v>129.14</v>
      </c>
      <c r="E51" s="293">
        <v>14.17</v>
      </c>
      <c r="F51" s="287" t="s">
        <v>367</v>
      </c>
      <c r="G51" s="288" t="s">
        <v>367</v>
      </c>
      <c r="O51" s="282" t="e">
        <f>D51/#REF!</f>
        <v>#REF!</v>
      </c>
    </row>
    <row r="52" spans="1:15" ht="15" customHeight="1">
      <c r="A52" s="133" t="s">
        <v>416</v>
      </c>
      <c r="B52" s="254" t="s">
        <v>417</v>
      </c>
      <c r="C52" s="127" t="s">
        <v>1984</v>
      </c>
      <c r="D52" s="277">
        <f>LOOKUP(A52,'[3]PT'!$A$2:$A$725,'[3]PT'!$D$2:$D$725)</f>
        <v>157.115</v>
      </c>
      <c r="E52" s="293">
        <v>16.667</v>
      </c>
      <c r="F52" s="287" t="s">
        <v>367</v>
      </c>
      <c r="G52" s="288" t="s">
        <v>367</v>
      </c>
      <c r="L52" s="251">
        <v>3</v>
      </c>
      <c r="O52" s="282" t="e">
        <f>D52/#REF!</f>
        <v>#REF!</v>
      </c>
    </row>
    <row r="53" spans="1:15" ht="15" customHeight="1">
      <c r="A53" s="213" t="s">
        <v>534</v>
      </c>
      <c r="B53" s="254" t="s">
        <v>1970</v>
      </c>
      <c r="C53" s="127" t="s">
        <v>1937</v>
      </c>
      <c r="D53" s="277">
        <f>LOOKUP(A53,'[3]PT'!$A$2:$A$725,'[3]PT'!$D$2:$D$725)</f>
        <v>54.35</v>
      </c>
      <c r="E53" s="293">
        <v>9.106</v>
      </c>
      <c r="F53" s="284" t="s">
        <v>367</v>
      </c>
      <c r="G53" s="295"/>
      <c r="H53" s="302" t="s">
        <v>1156</v>
      </c>
      <c r="L53" s="251">
        <v>2</v>
      </c>
      <c r="O53" s="282" t="e">
        <f>D53/#REF!</f>
        <v>#REF!</v>
      </c>
    </row>
    <row r="54" spans="1:15" ht="15" customHeight="1">
      <c r="A54" s="133" t="s">
        <v>1649</v>
      </c>
      <c r="B54" s="254" t="s">
        <v>1949</v>
      </c>
      <c r="C54" s="127" t="s">
        <v>178</v>
      </c>
      <c r="D54" s="277">
        <f>LOOKUP(A54,'[3]PT'!$A$2:$A$725,'[3]PT'!$D$2:$D$725)</f>
        <v>11.57</v>
      </c>
      <c r="E54" s="293">
        <v>1.149</v>
      </c>
      <c r="F54" s="287" t="s">
        <v>367</v>
      </c>
      <c r="G54" s="295" t="s">
        <v>367</v>
      </c>
      <c r="H54" s="302" t="s">
        <v>1281</v>
      </c>
      <c r="L54" s="251">
        <v>2</v>
      </c>
      <c r="O54" s="282" t="e">
        <f>D54/#REF!</f>
        <v>#REF!</v>
      </c>
    </row>
    <row r="55" spans="1:15" ht="15" customHeight="1">
      <c r="A55" s="133" t="s">
        <v>1659</v>
      </c>
      <c r="B55" s="254" t="s">
        <v>50</v>
      </c>
      <c r="C55" s="127" t="s">
        <v>1810</v>
      </c>
      <c r="D55" s="277">
        <f>LOOKUP(A55,'[3]PT'!$A$2:$A$725,'[3]PT'!$D$2:$D$725)</f>
        <v>35.5616</v>
      </c>
      <c r="E55" s="293">
        <v>6.351</v>
      </c>
      <c r="F55" s="287"/>
      <c r="G55" s="295" t="s">
        <v>367</v>
      </c>
      <c r="H55" s="302" t="s">
        <v>1238</v>
      </c>
      <c r="L55" s="251">
        <v>1</v>
      </c>
      <c r="O55" s="282" t="e">
        <f>D55/#REF!</f>
        <v>#REF!</v>
      </c>
    </row>
    <row r="56" spans="1:15" ht="15" customHeight="1">
      <c r="A56" s="134" t="s">
        <v>1662</v>
      </c>
      <c r="B56" s="254" t="s">
        <v>224</v>
      </c>
      <c r="C56" s="127" t="s">
        <v>178</v>
      </c>
      <c r="D56" s="277">
        <f>LOOKUP(A56,'[3]PT'!$A$2:$A$725,'[3]PT'!$D$2:$D$725)</f>
        <v>2312.44</v>
      </c>
      <c r="E56" s="283">
        <v>334.251</v>
      </c>
      <c r="F56" s="287" t="s">
        <v>367</v>
      </c>
      <c r="G56" s="303" t="s">
        <v>367</v>
      </c>
      <c r="H56" s="302" t="s">
        <v>1249</v>
      </c>
      <c r="L56" s="251">
        <v>3</v>
      </c>
      <c r="O56" s="282" t="e">
        <f>D56/#REF!</f>
        <v>#REF!</v>
      </c>
    </row>
    <row r="57" spans="1:15" ht="15" customHeight="1">
      <c r="A57" s="134" t="s">
        <v>51</v>
      </c>
      <c r="B57" s="254" t="s">
        <v>339</v>
      </c>
      <c r="C57" s="127" t="s">
        <v>178</v>
      </c>
      <c r="D57" s="277">
        <f>LOOKUP(A57,'[3]PT'!$A$2:$A$725,'[3]PT'!$D$2:$D$725)</f>
        <v>2312.44</v>
      </c>
      <c r="E57" s="293"/>
      <c r="F57" s="287"/>
      <c r="G57" s="304" t="s">
        <v>1262</v>
      </c>
      <c r="H57" s="302"/>
      <c r="J57" s="305" t="s">
        <v>1261</v>
      </c>
      <c r="L57" s="251">
        <v>1</v>
      </c>
      <c r="O57" s="282" t="e">
        <f>D57/#REF!</f>
        <v>#REF!</v>
      </c>
    </row>
    <row r="58" spans="1:15" ht="15" customHeight="1">
      <c r="A58" s="134" t="s">
        <v>52</v>
      </c>
      <c r="B58" s="254" t="s">
        <v>225</v>
      </c>
      <c r="C58" s="127" t="s">
        <v>178</v>
      </c>
      <c r="D58" s="277">
        <f>LOOKUP(A58,'[3]PT'!$A$2:$A$725,'[3]PT'!$D$2:$D$725)</f>
        <v>96.64</v>
      </c>
      <c r="E58" s="283">
        <v>14.165</v>
      </c>
      <c r="F58" s="287" t="s">
        <v>367</v>
      </c>
      <c r="G58" s="304" t="s">
        <v>367</v>
      </c>
      <c r="H58" s="302"/>
      <c r="L58" s="251">
        <v>2</v>
      </c>
      <c r="O58" s="282" t="e">
        <f>D58/#REF!</f>
        <v>#REF!</v>
      </c>
    </row>
    <row r="59" spans="1:15" ht="15" customHeight="1">
      <c r="A59" s="134" t="s">
        <v>1663</v>
      </c>
      <c r="B59" s="254" t="s">
        <v>1981</v>
      </c>
      <c r="C59" s="127" t="s">
        <v>178</v>
      </c>
      <c r="D59" s="277">
        <f>LOOKUP(A59,'[3]PT'!$A$2:$A$725,'[3]PT'!$D$2:$D$725)</f>
        <v>635.31</v>
      </c>
      <c r="E59" s="283">
        <v>93.331</v>
      </c>
      <c r="F59" s="287" t="s">
        <v>1427</v>
      </c>
      <c r="G59" s="303" t="s">
        <v>367</v>
      </c>
      <c r="H59" s="302"/>
      <c r="L59" s="251">
        <v>3</v>
      </c>
      <c r="O59" s="282" t="e">
        <f>D59/#REF!</f>
        <v>#REF!</v>
      </c>
    </row>
    <row r="60" spans="1:15" ht="15" customHeight="1">
      <c r="A60" s="134" t="s">
        <v>1364</v>
      </c>
      <c r="B60" s="254" t="s">
        <v>1982</v>
      </c>
      <c r="C60" s="127" t="s">
        <v>178</v>
      </c>
      <c r="D60" s="277">
        <f>LOOKUP(A60,'[3]PT'!$A$2:$A$725,'[3]PT'!$D$2:$D$725)</f>
        <v>871.59</v>
      </c>
      <c r="E60" s="283">
        <v>281.586</v>
      </c>
      <c r="F60" s="287" t="s">
        <v>367</v>
      </c>
      <c r="G60" s="303" t="s">
        <v>367</v>
      </c>
      <c r="H60" s="302"/>
      <c r="L60" s="251">
        <v>2</v>
      </c>
      <c r="O60" s="282" t="e">
        <f>D60/#REF!</f>
        <v>#REF!</v>
      </c>
    </row>
    <row r="61" spans="1:15" ht="15" customHeight="1">
      <c r="A61" s="133" t="s">
        <v>1656</v>
      </c>
      <c r="B61" s="254" t="s">
        <v>55</v>
      </c>
      <c r="C61" s="127" t="s">
        <v>178</v>
      </c>
      <c r="D61" s="277">
        <f>LOOKUP(A61,'[3]PT'!$A$2:$A$725,'[3]PT'!$D$2:$D$725)</f>
        <v>170.25</v>
      </c>
      <c r="E61" s="293">
        <v>35.537</v>
      </c>
      <c r="F61" s="287" t="s">
        <v>367</v>
      </c>
      <c r="G61" s="295" t="s">
        <v>367</v>
      </c>
      <c r="H61" s="302" t="s">
        <v>1280</v>
      </c>
      <c r="L61" s="251">
        <v>1</v>
      </c>
      <c r="O61" s="282" t="e">
        <f>D61/#REF!</f>
        <v>#REF!</v>
      </c>
    </row>
    <row r="62" spans="1:15" ht="15" customHeight="1">
      <c r="A62" s="133" t="s">
        <v>1644</v>
      </c>
      <c r="B62" s="254" t="s">
        <v>1951</v>
      </c>
      <c r="C62" s="127" t="s">
        <v>1966</v>
      </c>
      <c r="D62" s="277">
        <f>LOOKUP(A62,'[3]PT'!$A$2:$A$725,'[3]PT'!$D$2:$D$725)</f>
        <v>11.585</v>
      </c>
      <c r="E62" s="293">
        <v>2.148</v>
      </c>
      <c r="F62" s="287" t="s">
        <v>367</v>
      </c>
      <c r="G62" s="285" t="s">
        <v>367</v>
      </c>
      <c r="H62" s="302" t="s">
        <v>1239</v>
      </c>
      <c r="J62" s="251">
        <f>18-16</f>
        <v>2</v>
      </c>
      <c r="L62" s="251">
        <v>3</v>
      </c>
      <c r="O62" s="282" t="e">
        <f>D62/#REF!</f>
        <v>#REF!</v>
      </c>
    </row>
    <row r="63" spans="1:15" ht="15" customHeight="1">
      <c r="A63" s="133" t="s">
        <v>1657</v>
      </c>
      <c r="B63" s="254" t="s">
        <v>56</v>
      </c>
      <c r="C63" s="127" t="s">
        <v>178</v>
      </c>
      <c r="D63" s="277">
        <f>LOOKUP(A63,'[3]PT'!$A$2:$A$725,'[3]PT'!$D$2:$D$725)</f>
        <v>195.85</v>
      </c>
      <c r="E63" s="283">
        <v>37.463</v>
      </c>
      <c r="F63" s="287" t="s">
        <v>367</v>
      </c>
      <c r="G63" s="285" t="s">
        <v>367</v>
      </c>
      <c r="H63" s="302">
        <v>1097</v>
      </c>
      <c r="I63" s="306" t="s">
        <v>1288</v>
      </c>
      <c r="L63" s="251">
        <v>3</v>
      </c>
      <c r="O63" s="282" t="e">
        <f>D63/#REF!</f>
        <v>#REF!</v>
      </c>
    </row>
    <row r="64" spans="1:15" ht="15" customHeight="1">
      <c r="A64" s="133" t="s">
        <v>57</v>
      </c>
      <c r="B64" s="254" t="s">
        <v>58</v>
      </c>
      <c r="C64" s="127" t="s">
        <v>1966</v>
      </c>
      <c r="D64" s="277">
        <f>LOOKUP(A64,'[3]PT'!$A$2:$A$725,'[3]PT'!$D$2:$D$725)</f>
        <v>11.7333</v>
      </c>
      <c r="E64" s="307">
        <v>2.238</v>
      </c>
      <c r="F64" s="287" t="s">
        <v>367</v>
      </c>
      <c r="G64" s="285" t="s">
        <v>367</v>
      </c>
      <c r="H64" s="302">
        <v>1818</v>
      </c>
      <c r="L64" s="251">
        <v>3</v>
      </c>
      <c r="O64" s="282" t="e">
        <f>D64/#REF!</f>
        <v>#REF!</v>
      </c>
    </row>
    <row r="65" spans="1:15" ht="15" customHeight="1">
      <c r="A65" s="133" t="s">
        <v>53</v>
      </c>
      <c r="B65" s="254" t="s">
        <v>54</v>
      </c>
      <c r="C65" s="127" t="s">
        <v>1810</v>
      </c>
      <c r="D65" s="277">
        <f>LOOKUP(A65,'[3]PT'!$A$2:$A$725,'[3]PT'!$D$2:$D$725)</f>
        <v>40.84</v>
      </c>
      <c r="E65" s="293">
        <v>6.425</v>
      </c>
      <c r="F65" s="287" t="s">
        <v>367</v>
      </c>
      <c r="G65" s="285" t="s">
        <v>367</v>
      </c>
      <c r="H65" s="302">
        <f>13-121</f>
        <v>-108</v>
      </c>
      <c r="L65" s="251">
        <v>3</v>
      </c>
      <c r="O65" s="282" t="e">
        <f>D65/#REF!</f>
        <v>#REF!</v>
      </c>
    </row>
    <row r="66" spans="1:15" ht="15" customHeight="1">
      <c r="A66" s="133" t="s">
        <v>1291</v>
      </c>
      <c r="B66" s="254" t="s">
        <v>1293</v>
      </c>
      <c r="C66" s="127" t="s">
        <v>178</v>
      </c>
      <c r="D66" s="277">
        <f>LOOKUP(A66,'[3]PT'!$A$2:$A$725,'[3]PT'!$D$2:$D$725)</f>
        <v>248.1167</v>
      </c>
      <c r="E66" s="293">
        <v>37.276</v>
      </c>
      <c r="F66" s="287" t="s">
        <v>367</v>
      </c>
      <c r="G66" s="285" t="s">
        <v>367</v>
      </c>
      <c r="H66" s="302"/>
      <c r="O66" s="282" t="e">
        <f>D66/#REF!</f>
        <v>#REF!</v>
      </c>
    </row>
    <row r="67" spans="1:15" ht="15" customHeight="1">
      <c r="A67" s="133" t="s">
        <v>1292</v>
      </c>
      <c r="B67" s="254" t="s">
        <v>1294</v>
      </c>
      <c r="C67" s="127" t="s">
        <v>178</v>
      </c>
      <c r="D67" s="277">
        <f>LOOKUP(A67,'[3]PT'!$A$2:$A$725,'[3]PT'!$D$2:$D$725)</f>
        <v>111.5067</v>
      </c>
      <c r="E67" s="293">
        <v>19.749</v>
      </c>
      <c r="F67" s="287" t="s">
        <v>367</v>
      </c>
      <c r="G67" s="285" t="s">
        <v>367</v>
      </c>
      <c r="H67" s="302"/>
      <c r="O67" s="282" t="e">
        <f>D67/#REF!</f>
        <v>#REF!</v>
      </c>
    </row>
    <row r="68" spans="1:15" ht="15" customHeight="1">
      <c r="A68" s="133" t="s">
        <v>177</v>
      </c>
      <c r="B68" s="254" t="s">
        <v>1266</v>
      </c>
      <c r="C68" s="127" t="s">
        <v>178</v>
      </c>
      <c r="D68" s="277">
        <f>LOOKUP(A68,'[3]PT'!$A$2:$A$725,'[3]PT'!$D$2:$D$725)</f>
        <v>19.7</v>
      </c>
      <c r="E68" s="308">
        <v>3.63</v>
      </c>
      <c r="F68" s="287" t="s">
        <v>367</v>
      </c>
      <c r="G68" s="285" t="s">
        <v>367</v>
      </c>
      <c r="H68" s="302"/>
      <c r="L68" s="251">
        <v>1</v>
      </c>
      <c r="O68" s="282" t="e">
        <f>D68/#REF!</f>
        <v>#REF!</v>
      </c>
    </row>
    <row r="69" spans="1:15" ht="15" customHeight="1">
      <c r="A69" s="133" t="s">
        <v>1267</v>
      </c>
      <c r="B69" s="254" t="s">
        <v>1268</v>
      </c>
      <c r="C69" s="127" t="s">
        <v>178</v>
      </c>
      <c r="D69" s="277">
        <f>LOOKUP(A69,'[3]PT'!$A$2:$A$725,'[3]PT'!$D$2:$D$725)</f>
        <v>26.82</v>
      </c>
      <c r="E69" s="308">
        <v>5.08</v>
      </c>
      <c r="F69" s="287" t="s">
        <v>367</v>
      </c>
      <c r="G69" s="285" t="s">
        <v>367</v>
      </c>
      <c r="H69" s="302"/>
      <c r="O69" s="282" t="e">
        <f>D69/#REF!</f>
        <v>#REF!</v>
      </c>
    </row>
    <row r="70" spans="1:15" ht="15" customHeight="1">
      <c r="A70" s="213" t="s">
        <v>591</v>
      </c>
      <c r="B70" s="255" t="s">
        <v>1462</v>
      </c>
      <c r="C70" s="127" t="s">
        <v>178</v>
      </c>
      <c r="D70" s="277">
        <f>LOOKUP(A70,'[3]PT'!$A$2:$A$725,'[3]PT'!$D$2:$D$725)</f>
        <v>2.9018</v>
      </c>
      <c r="E70" s="308">
        <v>0.27</v>
      </c>
      <c r="F70" s="287"/>
      <c r="G70" s="285"/>
      <c r="H70" s="302"/>
      <c r="O70" s="282" t="e">
        <f>D70/#REF!</f>
        <v>#REF!</v>
      </c>
    </row>
    <row r="71" spans="1:15" ht="15" customHeight="1">
      <c r="A71" s="133" t="s">
        <v>183</v>
      </c>
      <c r="B71" s="254" t="s">
        <v>20</v>
      </c>
      <c r="C71" s="127" t="s">
        <v>178</v>
      </c>
      <c r="D71" s="277">
        <f>LOOKUP(A71,'[3]PT'!$A$2:$A$725,'[3]PT'!$D$2:$D$725)</f>
        <v>595.04</v>
      </c>
      <c r="E71" s="309">
        <v>99.174</v>
      </c>
      <c r="F71" s="310" t="s">
        <v>367</v>
      </c>
      <c r="G71" s="295" t="s">
        <v>367</v>
      </c>
      <c r="H71" s="302">
        <f>0.78/1.21</f>
        <v>0.6446280991735538</v>
      </c>
      <c r="L71" s="251">
        <v>1</v>
      </c>
      <c r="O71" s="282" t="e">
        <f>D71/#REF!</f>
        <v>#REF!</v>
      </c>
    </row>
    <row r="72" spans="1:15" ht="15" customHeight="1">
      <c r="A72" s="213" t="s">
        <v>594</v>
      </c>
      <c r="B72" s="254" t="s">
        <v>184</v>
      </c>
      <c r="C72" s="127" t="s">
        <v>178</v>
      </c>
      <c r="D72" s="277">
        <f>LOOKUP(A72,'[3]PT'!$A$2:$A$725,'[3]PT'!$D$2:$D$725)</f>
        <v>71.2733</v>
      </c>
      <c r="E72" s="311">
        <v>25.564</v>
      </c>
      <c r="F72" s="294" t="s">
        <v>367</v>
      </c>
      <c r="G72" s="285" t="s">
        <v>367</v>
      </c>
      <c r="H72" s="302" t="s">
        <v>1149</v>
      </c>
      <c r="L72" s="251">
        <v>3</v>
      </c>
      <c r="O72" s="282" t="e">
        <f>D72/#REF!</f>
        <v>#REF!</v>
      </c>
    </row>
    <row r="73" spans="1:15" ht="15" customHeight="1">
      <c r="A73" s="213" t="s">
        <v>596</v>
      </c>
      <c r="B73" s="254" t="s">
        <v>1473</v>
      </c>
      <c r="C73" s="127" t="s">
        <v>1810</v>
      </c>
      <c r="D73" s="277">
        <f>LOOKUP(A73,'[3]PT'!$A$2:$A$725,'[3]PT'!$D$2:$D$725)</f>
        <v>7.4956</v>
      </c>
      <c r="E73" s="311"/>
      <c r="F73" s="294"/>
      <c r="G73" s="285"/>
      <c r="H73" s="302"/>
      <c r="O73" s="282" t="e">
        <f>D73/#REF!</f>
        <v>#REF!</v>
      </c>
    </row>
    <row r="74" spans="1:15" ht="15" customHeight="1">
      <c r="A74" s="213" t="s">
        <v>597</v>
      </c>
      <c r="B74" s="254" t="s">
        <v>59</v>
      </c>
      <c r="C74" s="127" t="s">
        <v>1810</v>
      </c>
      <c r="D74" s="277">
        <f>LOOKUP(A74,'[3]PT'!$A$2:$A$725,'[3]PT'!$D$2:$D$725)</f>
        <v>4.1167</v>
      </c>
      <c r="E74" s="283">
        <v>0.552</v>
      </c>
      <c r="F74" s="284" t="s">
        <v>367</v>
      </c>
      <c r="G74" s="285" t="s">
        <v>367</v>
      </c>
      <c r="H74" s="302" t="s">
        <v>1232</v>
      </c>
      <c r="L74" s="251">
        <v>3</v>
      </c>
      <c r="O74" s="282" t="e">
        <f>D74/#REF!</f>
        <v>#REF!</v>
      </c>
    </row>
    <row r="75" spans="1:15" ht="15" customHeight="1">
      <c r="A75" s="213" t="s">
        <v>598</v>
      </c>
      <c r="B75" s="255" t="s">
        <v>1428</v>
      </c>
      <c r="C75" s="127" t="s">
        <v>1810</v>
      </c>
      <c r="D75" s="277">
        <f>LOOKUP(A75,'[3]PT'!$A$2:$A$725,'[3]PT'!$D$2:$D$725)</f>
        <v>19.99</v>
      </c>
      <c r="E75" s="283">
        <v>2.807</v>
      </c>
      <c r="F75" s="284"/>
      <c r="G75" s="285"/>
      <c r="H75" s="302"/>
      <c r="O75" s="282" t="e">
        <f>D75/#REF!</f>
        <v>#REF!</v>
      </c>
    </row>
    <row r="76" spans="1:15" ht="15" customHeight="1">
      <c r="A76" s="213" t="s">
        <v>602</v>
      </c>
      <c r="B76" s="255" t="s">
        <v>1299</v>
      </c>
      <c r="C76" s="127" t="s">
        <v>178</v>
      </c>
      <c r="D76" s="277">
        <f>LOOKUP(A76,'[3]PT'!$A$2:$A$725,'[3]PT'!$D$2:$D$725)</f>
        <v>2.74</v>
      </c>
      <c r="E76" s="283">
        <v>0.426</v>
      </c>
      <c r="F76" s="284"/>
      <c r="G76" s="285"/>
      <c r="H76" s="302"/>
      <c r="O76" s="282" t="e">
        <f>D76/#REF!</f>
        <v>#REF!</v>
      </c>
    </row>
    <row r="77" spans="1:15" ht="15" customHeight="1">
      <c r="A77" s="213" t="s">
        <v>607</v>
      </c>
      <c r="B77" s="255" t="s">
        <v>1454</v>
      </c>
      <c r="C77" s="127" t="s">
        <v>178</v>
      </c>
      <c r="D77" s="277">
        <f>LOOKUP(A77,'[3]PT'!$A$2:$A$725,'[3]PT'!$D$2:$D$725)</f>
        <v>4.0301</v>
      </c>
      <c r="E77" s="283">
        <v>0.83</v>
      </c>
      <c r="F77" s="284"/>
      <c r="G77" s="285"/>
      <c r="H77" s="302"/>
      <c r="O77" s="282" t="e">
        <f>D77/#REF!</f>
        <v>#REF!</v>
      </c>
    </row>
    <row r="78" spans="1:15" ht="15" customHeight="1">
      <c r="A78" s="213" t="s">
        <v>608</v>
      </c>
      <c r="B78" s="255" t="s">
        <v>1453</v>
      </c>
      <c r="C78" s="127" t="s">
        <v>178</v>
      </c>
      <c r="D78" s="277">
        <f>LOOKUP(A78,'[3]PT'!$A$2:$A$725,'[3]PT'!$D$2:$D$725)</f>
        <v>1.9537</v>
      </c>
      <c r="E78" s="283">
        <v>0.39</v>
      </c>
      <c r="F78" s="284"/>
      <c r="G78" s="285"/>
      <c r="H78" s="302"/>
      <c r="O78" s="282" t="e">
        <f>D78/#REF!</f>
        <v>#REF!</v>
      </c>
    </row>
    <row r="79" spans="1:15" ht="15" customHeight="1">
      <c r="A79" s="213" t="s">
        <v>609</v>
      </c>
      <c r="B79" s="255" t="s">
        <v>1455</v>
      </c>
      <c r="C79" s="127" t="s">
        <v>178</v>
      </c>
      <c r="D79" s="277">
        <f>LOOKUP(A79,'[3]PT'!$A$2:$A$725,'[3]PT'!$D$2:$D$725)</f>
        <v>7.9502</v>
      </c>
      <c r="E79" s="283">
        <v>1.3</v>
      </c>
      <c r="F79" s="284"/>
      <c r="G79" s="285"/>
      <c r="H79" s="302"/>
      <c r="O79" s="282" t="e">
        <f>D79/#REF!</f>
        <v>#REF!</v>
      </c>
    </row>
    <row r="80" spans="1:15" ht="15" customHeight="1">
      <c r="A80" s="213" t="s">
        <v>610</v>
      </c>
      <c r="B80" s="254" t="s">
        <v>1953</v>
      </c>
      <c r="C80" s="127" t="s">
        <v>178</v>
      </c>
      <c r="D80" s="277">
        <f>LOOKUP(A80,'[3]PT'!$A$2:$A$725,'[3]PT'!$D$2:$D$725)</f>
        <v>4.1</v>
      </c>
      <c r="E80" s="283">
        <v>0.798</v>
      </c>
      <c r="F80" s="284" t="s">
        <v>367</v>
      </c>
      <c r="G80" s="285" t="s">
        <v>367</v>
      </c>
      <c r="H80" s="302"/>
      <c r="L80" s="251">
        <v>3</v>
      </c>
      <c r="O80" s="282" t="e">
        <f>D80/#REF!</f>
        <v>#REF!</v>
      </c>
    </row>
    <row r="81" spans="1:15" ht="15" customHeight="1">
      <c r="A81" s="213" t="s">
        <v>614</v>
      </c>
      <c r="B81" s="254" t="s">
        <v>226</v>
      </c>
      <c r="C81" s="127" t="s">
        <v>178</v>
      </c>
      <c r="D81" s="277">
        <f>LOOKUP(A81,'[3]PT'!$A$2:$A$725,'[3]PT'!$D$2:$D$725)</f>
        <v>32.304</v>
      </c>
      <c r="E81" s="283">
        <v>5.395</v>
      </c>
      <c r="F81" s="284" t="s">
        <v>367</v>
      </c>
      <c r="G81" s="285" t="s">
        <v>367</v>
      </c>
      <c r="H81" s="302"/>
      <c r="L81" s="251">
        <v>3</v>
      </c>
      <c r="O81" s="282" t="e">
        <f>D81/#REF!</f>
        <v>#REF!</v>
      </c>
    </row>
    <row r="82" spans="1:15" ht="15" customHeight="1">
      <c r="A82" s="250" t="s">
        <v>615</v>
      </c>
      <c r="B82" s="254" t="s">
        <v>1440</v>
      </c>
      <c r="C82" s="129" t="s">
        <v>178</v>
      </c>
      <c r="D82" s="277">
        <f>LOOKUP(A82,'[3]PT'!$A$2:$A$725,'[3]PT'!$D$2:$D$725)</f>
        <v>40.8612</v>
      </c>
      <c r="E82" s="283">
        <v>6.46</v>
      </c>
      <c r="F82" s="312"/>
      <c r="G82" s="295"/>
      <c r="H82" s="302"/>
      <c r="O82" s="282" t="e">
        <f>D82/#REF!</f>
        <v>#REF!</v>
      </c>
    </row>
    <row r="83" spans="1:15" ht="15" customHeight="1">
      <c r="A83" s="213" t="s">
        <v>619</v>
      </c>
      <c r="B83" s="254" t="s">
        <v>227</v>
      </c>
      <c r="C83" s="127" t="s">
        <v>178</v>
      </c>
      <c r="D83" s="277">
        <f>LOOKUP(A83,'[3]PT'!$A$2:$A$725,'[3]PT'!$D$2:$D$725)</f>
        <v>41.07</v>
      </c>
      <c r="E83" s="283">
        <v>4.059</v>
      </c>
      <c r="F83" s="284" t="s">
        <v>367</v>
      </c>
      <c r="G83" s="285" t="s">
        <v>367</v>
      </c>
      <c r="H83" s="302"/>
      <c r="L83" s="251">
        <v>3</v>
      </c>
      <c r="O83" s="282" t="e">
        <f>D83/#REF!</f>
        <v>#REF!</v>
      </c>
    </row>
    <row r="84" spans="1:15" ht="15" customHeight="1">
      <c r="A84" s="213" t="s">
        <v>626</v>
      </c>
      <c r="B84" s="254" t="s">
        <v>1952</v>
      </c>
      <c r="C84" s="127" t="s">
        <v>178</v>
      </c>
      <c r="D84" s="277">
        <f>LOOKUP(A84,'[3]PT'!$A$2:$A$725,'[3]PT'!$D$2:$D$725)</f>
        <v>24.035</v>
      </c>
      <c r="E84" s="293">
        <v>2.363</v>
      </c>
      <c r="F84" s="284" t="s">
        <v>367</v>
      </c>
      <c r="G84" s="285" t="s">
        <v>367</v>
      </c>
      <c r="H84" s="302"/>
      <c r="L84" s="251">
        <v>3</v>
      </c>
      <c r="O84" s="282" t="e">
        <f>D84/#REF!</f>
        <v>#REF!</v>
      </c>
    </row>
    <row r="85" spans="1:15" ht="15" customHeight="1">
      <c r="A85" s="213" t="s">
        <v>634</v>
      </c>
      <c r="B85" s="254" t="s">
        <v>1987</v>
      </c>
      <c r="C85" s="127" t="s">
        <v>178</v>
      </c>
      <c r="D85" s="277">
        <f>LOOKUP(A85,'[3]PT'!$A$2:$A$725,'[3]PT'!$D$2:$D$725)</f>
        <v>18000</v>
      </c>
      <c r="E85" s="311">
        <f>3500/1.21</f>
        <v>2892.5619834710747</v>
      </c>
      <c r="F85" s="294" t="s">
        <v>367</v>
      </c>
      <c r="G85" s="295"/>
      <c r="H85" s="302"/>
      <c r="L85" s="251">
        <v>2</v>
      </c>
      <c r="O85" s="282" t="e">
        <f>D85/#REF!</f>
        <v>#REF!</v>
      </c>
    </row>
    <row r="86" spans="1:15" ht="15" customHeight="1">
      <c r="A86" s="250" t="s">
        <v>636</v>
      </c>
      <c r="B86" s="255" t="s">
        <v>1295</v>
      </c>
      <c r="C86" s="129" t="s">
        <v>178</v>
      </c>
      <c r="D86" s="277">
        <f>LOOKUP(A86,'[3]PT'!$A$2:$A$725,'[3]PT'!$D$2:$D$725)</f>
        <v>77.71</v>
      </c>
      <c r="E86" s="313"/>
      <c r="F86" s="314">
        <v>12.521</v>
      </c>
      <c r="G86" s="295"/>
      <c r="H86" s="302"/>
      <c r="O86" s="282" t="e">
        <f>D86/#REF!</f>
        <v>#REF!</v>
      </c>
    </row>
    <row r="87" spans="1:15" ht="15" customHeight="1">
      <c r="A87" s="250" t="s">
        <v>637</v>
      </c>
      <c r="B87" s="255" t="s">
        <v>1296</v>
      </c>
      <c r="C87" s="129" t="s">
        <v>178</v>
      </c>
      <c r="D87" s="277">
        <f>LOOKUP(A87,'[3]PT'!$A$2:$A$725,'[3]PT'!$D$2:$D$725)</f>
        <v>164.6733</v>
      </c>
      <c r="E87" s="313"/>
      <c r="F87" s="314">
        <f>17.564/1.21</f>
        <v>14.515702479338843</v>
      </c>
      <c r="G87" s="295"/>
      <c r="H87" s="302"/>
      <c r="O87" s="282" t="e">
        <f>D87/#REF!</f>
        <v>#REF!</v>
      </c>
    </row>
    <row r="88" spans="1:15" ht="15" customHeight="1">
      <c r="A88" s="135" t="s">
        <v>1464</v>
      </c>
      <c r="B88" s="255" t="s">
        <v>1297</v>
      </c>
      <c r="C88" s="129" t="s">
        <v>178</v>
      </c>
      <c r="D88" s="277">
        <f>LOOKUP(A88,'[3]PT'!$A$2:$A$725,'[3]PT'!$D$2:$D$725)</f>
        <v>164.6733</v>
      </c>
      <c r="E88" s="313"/>
      <c r="F88" s="314">
        <f>13.254/1.21</f>
        <v>10.953719008264462</v>
      </c>
      <c r="G88" s="295"/>
      <c r="H88" s="302"/>
      <c r="O88" s="282" t="e">
        <f>D88/#REF!</f>
        <v>#REF!</v>
      </c>
    </row>
    <row r="89" spans="1:15" ht="15" customHeight="1">
      <c r="A89" s="135" t="s">
        <v>1465</v>
      </c>
      <c r="B89" s="256" t="s">
        <v>1300</v>
      </c>
      <c r="C89" s="129" t="s">
        <v>178</v>
      </c>
      <c r="D89" s="277">
        <f>LOOKUP(A89,'[3]PT'!$A$2:$A$725,'[3]PT'!$D$2:$D$725)</f>
        <v>164.6733</v>
      </c>
      <c r="E89" s="313"/>
      <c r="F89" s="315">
        <v>0.27</v>
      </c>
      <c r="G89" s="295"/>
      <c r="H89" s="302"/>
      <c r="O89" s="282" t="e">
        <f>D89/#REF!</f>
        <v>#REF!</v>
      </c>
    </row>
    <row r="90" spans="1:15" ht="15" customHeight="1">
      <c r="A90" s="135" t="s">
        <v>1466</v>
      </c>
      <c r="B90" s="256" t="s">
        <v>1301</v>
      </c>
      <c r="C90" s="129" t="s">
        <v>178</v>
      </c>
      <c r="D90" s="277">
        <f>LOOKUP(A90,'[3]PT'!$A$2:$A$725,'[3]PT'!$D$2:$D$725)</f>
        <v>164.6733</v>
      </c>
      <c r="E90" s="313"/>
      <c r="F90" s="315">
        <v>0.63</v>
      </c>
      <c r="G90" s="295"/>
      <c r="H90" s="302"/>
      <c r="O90" s="282" t="e">
        <f>D90/#REF!</f>
        <v>#REF!</v>
      </c>
    </row>
    <row r="91" spans="1:15" ht="15" customHeight="1">
      <c r="A91" s="250" t="s">
        <v>638</v>
      </c>
      <c r="B91" s="255" t="s">
        <v>1302</v>
      </c>
      <c r="C91" s="129" t="s">
        <v>178</v>
      </c>
      <c r="D91" s="277">
        <f>LOOKUP(A91,'[3]PT'!$A$2:$A$725,'[3]PT'!$D$2:$D$725)</f>
        <v>3.61</v>
      </c>
      <c r="E91" s="313"/>
      <c r="F91" s="315">
        <f>0.443/1.21</f>
        <v>0.36611570247933883</v>
      </c>
      <c r="G91" s="295"/>
      <c r="H91" s="302"/>
      <c r="O91" s="282" t="e">
        <f>D91/#REF!</f>
        <v>#REF!</v>
      </c>
    </row>
    <row r="92" spans="1:15" ht="15" customHeight="1">
      <c r="A92" s="135" t="s">
        <v>1467</v>
      </c>
      <c r="B92" s="257" t="s">
        <v>436</v>
      </c>
      <c r="C92" s="129" t="s">
        <v>178</v>
      </c>
      <c r="D92" s="277">
        <f>LOOKUP(A92,'[3]PT'!$A$2:$A$725,'[3]PT'!$D$2:$D$725)</f>
        <v>227.565</v>
      </c>
      <c r="E92" s="313"/>
      <c r="F92" s="315">
        <f>3.21/1.21</f>
        <v>2.6528925619834713</v>
      </c>
      <c r="G92" s="295"/>
      <c r="H92" s="302"/>
      <c r="O92" s="282" t="e">
        <f>D92/#REF!</f>
        <v>#REF!</v>
      </c>
    </row>
    <row r="93" spans="1:15" ht="15" customHeight="1">
      <c r="A93" s="138" t="s">
        <v>1468</v>
      </c>
      <c r="B93" s="255" t="s">
        <v>1304</v>
      </c>
      <c r="C93" s="129" t="s">
        <v>178</v>
      </c>
      <c r="D93" s="277">
        <f>LOOKUP(A93,'[3]PT'!$A$2:$A$725,'[3]PT'!$D$2:$D$725)</f>
        <v>12.8559</v>
      </c>
      <c r="E93" s="313"/>
      <c r="F93" s="316">
        <f>5.51/1.21</f>
        <v>4.553719008264463</v>
      </c>
      <c r="G93" s="295"/>
      <c r="H93" s="302"/>
      <c r="O93" s="282" t="e">
        <f>D93/#REF!</f>
        <v>#REF!</v>
      </c>
    </row>
    <row r="94" spans="1:15" ht="15" customHeight="1">
      <c r="A94" s="138" t="s">
        <v>1469</v>
      </c>
      <c r="B94" s="255" t="s">
        <v>1305</v>
      </c>
      <c r="C94" s="129" t="s">
        <v>178</v>
      </c>
      <c r="D94" s="277">
        <f>LOOKUP(A94,'[3]PT'!$A$2:$A$725,'[3]PT'!$D$2:$D$725)</f>
        <v>12.8559</v>
      </c>
      <c r="E94" s="313"/>
      <c r="F94" s="316">
        <f>6.76/1.21</f>
        <v>5.586776859504132</v>
      </c>
      <c r="G94" s="295"/>
      <c r="H94" s="302"/>
      <c r="O94" s="282" t="e">
        <f>D94/#REF!</f>
        <v>#REF!</v>
      </c>
    </row>
    <row r="95" spans="1:15" ht="15" customHeight="1">
      <c r="A95" s="138" t="s">
        <v>1470</v>
      </c>
      <c r="B95" s="255" t="s">
        <v>1306</v>
      </c>
      <c r="C95" s="129" t="s">
        <v>178</v>
      </c>
      <c r="D95" s="277">
        <f>LOOKUP(A95,'[3]PT'!$A$2:$A$725,'[3]PT'!$D$2:$D$725)</f>
        <v>12.8559</v>
      </c>
      <c r="E95" s="313"/>
      <c r="F95" s="316">
        <f>5.683/1.21</f>
        <v>4.696694214876033</v>
      </c>
      <c r="G95" s="295"/>
      <c r="H95" s="302"/>
      <c r="O95" s="282" t="e">
        <f>D95/#REF!</f>
        <v>#REF!</v>
      </c>
    </row>
    <row r="96" spans="1:15" ht="15" customHeight="1">
      <c r="A96" s="250" t="s">
        <v>640</v>
      </c>
      <c r="B96" s="255" t="s">
        <v>1307</v>
      </c>
      <c r="C96" s="129" t="s">
        <v>178</v>
      </c>
      <c r="D96" s="277">
        <f>LOOKUP(A96,'[3]PT'!$A$2:$A$725,'[3]PT'!$D$2:$D$725)</f>
        <v>2.34</v>
      </c>
      <c r="E96" s="313"/>
      <c r="F96" s="315">
        <f>0.39/1.21</f>
        <v>0.3223140495867769</v>
      </c>
      <c r="G96" s="295"/>
      <c r="H96" s="302"/>
      <c r="O96" s="282" t="e">
        <f>D96/#REF!</f>
        <v>#REF!</v>
      </c>
    </row>
    <row r="97" spans="1:15" ht="15" customHeight="1">
      <c r="A97" s="250" t="s">
        <v>641</v>
      </c>
      <c r="B97" s="255" t="s">
        <v>1308</v>
      </c>
      <c r="C97" s="129" t="s">
        <v>178</v>
      </c>
      <c r="D97" s="277">
        <f>LOOKUP(A97,'[3]PT'!$A$2:$A$725,'[3]PT'!$D$2:$D$725)</f>
        <v>7.2</v>
      </c>
      <c r="E97" s="313"/>
      <c r="F97" s="315">
        <f>0.755/1.21</f>
        <v>0.6239669421487604</v>
      </c>
      <c r="G97" s="295"/>
      <c r="H97" s="302"/>
      <c r="O97" s="282" t="e">
        <f>D97/#REF!</f>
        <v>#REF!</v>
      </c>
    </row>
    <row r="98" spans="1:15" ht="15" customHeight="1">
      <c r="A98" s="250" t="s">
        <v>642</v>
      </c>
      <c r="B98" s="255" t="s">
        <v>1309</v>
      </c>
      <c r="C98" s="129" t="s">
        <v>178</v>
      </c>
      <c r="D98" s="277">
        <f>LOOKUP(A98,'[3]PT'!$A$2:$A$725,'[3]PT'!$D$2:$D$725)</f>
        <v>10.81</v>
      </c>
      <c r="E98" s="313"/>
      <c r="F98" s="315">
        <f>1.079/1.21</f>
        <v>0.8917355371900826</v>
      </c>
      <c r="G98" s="295"/>
      <c r="H98" s="302"/>
      <c r="O98" s="282" t="e">
        <f>D98/#REF!</f>
        <v>#REF!</v>
      </c>
    </row>
    <row r="99" spans="1:15" ht="15" customHeight="1">
      <c r="A99" s="135" t="s">
        <v>1471</v>
      </c>
      <c r="B99" s="256" t="s">
        <v>1310</v>
      </c>
      <c r="C99" s="129" t="s">
        <v>178</v>
      </c>
      <c r="D99" s="277">
        <f>LOOKUP(A99,'[3]PT'!$A$2:$A$725,'[3]PT'!$D$2:$D$725)</f>
        <v>10.81</v>
      </c>
      <c r="E99" s="313"/>
      <c r="F99" s="316">
        <f>E82</f>
        <v>6.46</v>
      </c>
      <c r="G99" s="295"/>
      <c r="H99" s="302"/>
      <c r="O99" s="282" t="e">
        <f>D99/#REF!</f>
        <v>#REF!</v>
      </c>
    </row>
    <row r="100" spans="1:15" ht="15" customHeight="1">
      <c r="A100" s="250" t="s">
        <v>643</v>
      </c>
      <c r="B100" s="255" t="s">
        <v>1311</v>
      </c>
      <c r="C100" s="129" t="s">
        <v>178</v>
      </c>
      <c r="D100" s="277">
        <f>LOOKUP(A100,'[3]PT'!$A$2:$A$725,'[3]PT'!$D$2:$D$725)</f>
        <v>1.92</v>
      </c>
      <c r="E100" s="313"/>
      <c r="F100" s="315">
        <v>0.28</v>
      </c>
      <c r="G100" s="295"/>
      <c r="H100" s="302"/>
      <c r="O100" s="282" t="e">
        <f>D100/#REF!</f>
        <v>#REF!</v>
      </c>
    </row>
    <row r="101" spans="1:15" ht="15" customHeight="1">
      <c r="A101" s="138" t="s">
        <v>1312</v>
      </c>
      <c r="B101" s="255" t="s">
        <v>1313</v>
      </c>
      <c r="C101" s="129" t="s">
        <v>178</v>
      </c>
      <c r="D101" s="277">
        <f>LOOKUP(A101,'[3]PT'!$A$2:$A$725,'[3]PT'!$D$2:$D$725)</f>
        <v>16.51</v>
      </c>
      <c r="E101" s="313">
        <f>E78</f>
        <v>0.39</v>
      </c>
      <c r="F101" s="316"/>
      <c r="G101" s="295"/>
      <c r="H101" s="302"/>
      <c r="O101" s="282" t="e">
        <f>D101/#REF!</f>
        <v>#REF!</v>
      </c>
    </row>
    <row r="102" spans="1:15" ht="15" customHeight="1">
      <c r="A102" s="250" t="s">
        <v>644</v>
      </c>
      <c r="B102" s="255" t="s">
        <v>1314</v>
      </c>
      <c r="C102" s="129" t="s">
        <v>178</v>
      </c>
      <c r="D102" s="277">
        <f>LOOKUP(A102,'[3]PT'!$A$2:$A$725,'[3]PT'!$D$2:$D$725)</f>
        <v>11.12</v>
      </c>
      <c r="E102" s="313"/>
      <c r="F102" s="315">
        <v>1.66</v>
      </c>
      <c r="G102" s="295"/>
      <c r="H102" s="302"/>
      <c r="O102" s="282" t="e">
        <f>D102/#REF!</f>
        <v>#REF!</v>
      </c>
    </row>
    <row r="103" spans="1:15" ht="15" customHeight="1">
      <c r="A103" s="138" t="s">
        <v>1315</v>
      </c>
      <c r="B103" s="255" t="s">
        <v>1319</v>
      </c>
      <c r="C103" s="129" t="s">
        <v>178</v>
      </c>
      <c r="D103" s="277">
        <f>LOOKUP(A103,'[3]PT'!$A$2:$A$725,'[3]PT'!$D$2:$D$725)</f>
        <v>16.51</v>
      </c>
      <c r="E103" s="317">
        <f>E79</f>
        <v>1.3</v>
      </c>
      <c r="F103" s="316"/>
      <c r="G103" s="295"/>
      <c r="H103" s="302"/>
      <c r="O103" s="282" t="e">
        <f>D103/#REF!</f>
        <v>#REF!</v>
      </c>
    </row>
    <row r="104" spans="1:15" ht="15" customHeight="1">
      <c r="A104" s="138" t="s">
        <v>1320</v>
      </c>
      <c r="B104" s="255" t="s">
        <v>1321</v>
      </c>
      <c r="C104" s="129" t="s">
        <v>178</v>
      </c>
      <c r="D104" s="277">
        <f>LOOKUP(A104,'[3]PT'!$A$2:$A$725,'[3]PT'!$D$2:$D$725)</f>
        <v>16.51</v>
      </c>
      <c r="E104" s="313">
        <f>E77</f>
        <v>0.83</v>
      </c>
      <c r="F104" s="316"/>
      <c r="G104" s="318"/>
      <c r="H104" s="302"/>
      <c r="O104" s="282" t="e">
        <f>D104/#REF!</f>
        <v>#REF!</v>
      </c>
    </row>
    <row r="105" spans="1:15" ht="15" customHeight="1">
      <c r="A105" s="135" t="s">
        <v>1365</v>
      </c>
      <c r="B105" s="255" t="s">
        <v>1298</v>
      </c>
      <c r="C105" s="129" t="s">
        <v>178</v>
      </c>
      <c r="D105" s="277">
        <f>LOOKUP(A105,'[3]PT'!$A$2:$A$725,'[3]PT'!$D$2:$D$725)</f>
        <v>17.61</v>
      </c>
      <c r="E105" s="313"/>
      <c r="F105" s="314">
        <v>0.325</v>
      </c>
      <c r="G105" s="318"/>
      <c r="H105" s="302"/>
      <c r="O105" s="282" t="e">
        <f>D105/#REF!</f>
        <v>#REF!</v>
      </c>
    </row>
    <row r="106" spans="1:15" ht="15" customHeight="1">
      <c r="A106" s="133" t="s">
        <v>1366</v>
      </c>
      <c r="B106" s="254" t="s">
        <v>1954</v>
      </c>
      <c r="C106" s="127" t="s">
        <v>178</v>
      </c>
      <c r="D106" s="277">
        <f>LOOKUP(A106,'[3]PT'!$A$2:$A$725,'[3]PT'!$D$2:$D$725)</f>
        <v>546606.33</v>
      </c>
      <c r="E106" s="319">
        <v>72479.3359</v>
      </c>
      <c r="F106" s="320"/>
      <c r="G106" s="295"/>
      <c r="H106" s="302" t="s">
        <v>1150</v>
      </c>
      <c r="L106" s="251">
        <v>1</v>
      </c>
      <c r="O106" s="282" t="e">
        <f>D106/#REF!</f>
        <v>#REF!</v>
      </c>
    </row>
    <row r="107" spans="1:15" ht="15" customHeight="1">
      <c r="A107" s="133" t="s">
        <v>418</v>
      </c>
      <c r="B107" s="254" t="s">
        <v>1954</v>
      </c>
      <c r="C107" s="127" t="s">
        <v>1924</v>
      </c>
      <c r="D107" s="277">
        <f>LOOKUP(A107,'[3]PT'!$A$2:$A$725,'[3]PT'!$D$2:$D$725)</f>
        <v>565898.8556</v>
      </c>
      <c r="E107" s="319">
        <v>0</v>
      </c>
      <c r="F107" s="320"/>
      <c r="G107" s="321"/>
      <c r="H107" s="302"/>
      <c r="K107" s="251">
        <f>87600/1.21</f>
        <v>72396.69421487603</v>
      </c>
      <c r="O107" s="282" t="e">
        <f>D107/#REF!</f>
        <v>#REF!</v>
      </c>
    </row>
    <row r="108" spans="1:15" ht="15" customHeight="1">
      <c r="A108" s="133" t="s">
        <v>1367</v>
      </c>
      <c r="B108" s="254" t="s">
        <v>1955</v>
      </c>
      <c r="C108" s="127" t="s">
        <v>178</v>
      </c>
      <c r="D108" s="277">
        <f>LOOKUP(A108,'[3]PT'!$A$2:$A$725,'[3]PT'!$D$2:$D$725)</f>
        <v>89592.76</v>
      </c>
      <c r="E108" s="319">
        <v>12231.4053</v>
      </c>
      <c r="F108" s="287"/>
      <c r="G108" s="321"/>
      <c r="H108" s="302" t="s">
        <v>1150</v>
      </c>
      <c r="L108" s="251">
        <v>1</v>
      </c>
      <c r="O108" s="282" t="e">
        <f>D108/#REF!</f>
        <v>#REF!</v>
      </c>
    </row>
    <row r="109" spans="1:18" ht="15" customHeight="1">
      <c r="A109" s="133" t="s">
        <v>1637</v>
      </c>
      <c r="B109" s="254" t="s">
        <v>276</v>
      </c>
      <c r="C109" s="127" t="s">
        <v>1924</v>
      </c>
      <c r="D109" s="277">
        <f>D118</f>
        <v>501.17</v>
      </c>
      <c r="E109" s="319">
        <v>72.429</v>
      </c>
      <c r="F109" s="322"/>
      <c r="G109" s="321"/>
      <c r="H109" s="302"/>
      <c r="O109" s="282" t="e">
        <f>D109/#REF!</f>
        <v>#REF!</v>
      </c>
      <c r="Q109" s="408" t="s">
        <v>2030</v>
      </c>
      <c r="R109" s="150" t="s">
        <v>2031</v>
      </c>
    </row>
    <row r="110" spans="1:18" ht="15" customHeight="1">
      <c r="A110" s="213" t="s">
        <v>1642</v>
      </c>
      <c r="B110" s="254" t="s">
        <v>277</v>
      </c>
      <c r="C110" s="127" t="s">
        <v>1924</v>
      </c>
      <c r="D110" s="277">
        <f>D126</f>
        <v>727.26</v>
      </c>
      <c r="E110" s="319">
        <v>105.05</v>
      </c>
      <c r="F110" s="322"/>
      <c r="G110" s="295"/>
      <c r="H110" s="302"/>
      <c r="L110" s="251">
        <v>1</v>
      </c>
      <c r="O110" s="282" t="e">
        <f>D110/#REF!</f>
        <v>#REF!</v>
      </c>
      <c r="Q110" s="408" t="s">
        <v>2033</v>
      </c>
      <c r="R110" s="15" t="s">
        <v>2032</v>
      </c>
    </row>
    <row r="111" spans="1:18" ht="15" customHeight="1">
      <c r="A111" s="133" t="s">
        <v>1956</v>
      </c>
      <c r="B111" s="254" t="s">
        <v>278</v>
      </c>
      <c r="C111" s="127" t="s">
        <v>1924</v>
      </c>
      <c r="D111" s="277">
        <f>D114</f>
        <v>402.25</v>
      </c>
      <c r="E111" s="319">
        <v>63.716</v>
      </c>
      <c r="F111" s="322"/>
      <c r="G111" s="323"/>
      <c r="H111" s="302"/>
      <c r="L111" s="251">
        <v>1</v>
      </c>
      <c r="O111" s="282" t="e">
        <f>D111/#REF!</f>
        <v>#REF!</v>
      </c>
      <c r="Q111" s="408" t="s">
        <v>2034</v>
      </c>
      <c r="R111" s="15" t="s">
        <v>2035</v>
      </c>
    </row>
    <row r="112" spans="1:15" ht="15" customHeight="1">
      <c r="A112" s="133" t="s">
        <v>2012</v>
      </c>
      <c r="B112" s="254" t="s">
        <v>1957</v>
      </c>
      <c r="C112" s="127" t="s">
        <v>348</v>
      </c>
      <c r="D112" s="277">
        <f>LOOKUP(A112,'[3]PT'!$A$2:$A$725,'[3]PT'!$D$2:$D$725)</f>
        <v>8.3</v>
      </c>
      <c r="E112" s="319">
        <v>1.216</v>
      </c>
      <c r="F112" s="287"/>
      <c r="G112" s="321"/>
      <c r="H112" s="302" t="s">
        <v>1150</v>
      </c>
      <c r="L112" s="251">
        <v>1</v>
      </c>
      <c r="O112" s="282" t="e">
        <f>D112/#REF!</f>
        <v>#REF!</v>
      </c>
    </row>
    <row r="113" spans="1:15" ht="15" customHeight="1">
      <c r="A113" s="133" t="s">
        <v>1919</v>
      </c>
      <c r="B113" s="254" t="s">
        <v>116</v>
      </c>
      <c r="C113" s="127" t="s">
        <v>178</v>
      </c>
      <c r="D113" s="277">
        <f>LOOKUP(A113,'[3]PT'!$A$2:$A$725,'[3]PT'!$D$2:$D$725)</f>
        <v>1055405.3754</v>
      </c>
      <c r="E113" s="319">
        <v>255078.03</v>
      </c>
      <c r="F113" s="324"/>
      <c r="G113" s="323"/>
      <c r="H113" s="325"/>
      <c r="L113" s="251">
        <v>1</v>
      </c>
      <c r="O113" s="282" t="e">
        <f>D113/#REF!</f>
        <v>#REF!</v>
      </c>
    </row>
    <row r="114" spans="1:15" ht="15" customHeight="1">
      <c r="A114" s="133" t="s">
        <v>1913</v>
      </c>
      <c r="B114" s="254" t="s">
        <v>116</v>
      </c>
      <c r="C114" s="127" t="s">
        <v>1924</v>
      </c>
      <c r="D114" s="277">
        <f>LOOKUP(A114,'[3]PT'!$A$2:$A$725,'[3]PT'!$D$2:$D$725)</f>
        <v>402.25</v>
      </c>
      <c r="E114" s="319">
        <v>63.716</v>
      </c>
      <c r="F114" s="322"/>
      <c r="G114" s="321"/>
      <c r="H114" s="325"/>
      <c r="O114" s="282" t="e">
        <f>D114/#REF!</f>
        <v>#REF!</v>
      </c>
    </row>
    <row r="115" spans="1:15" ht="15" customHeight="1">
      <c r="A115" s="133" t="s">
        <v>2013</v>
      </c>
      <c r="B115" s="254" t="s">
        <v>118</v>
      </c>
      <c r="C115" s="127" t="s">
        <v>178</v>
      </c>
      <c r="D115" s="277">
        <f>LOOKUP(A115,'[3]PT'!$A$2:$A$725,'[3]PT'!$D$2:$D$725)</f>
        <v>1610133.1909</v>
      </c>
      <c r="E115" s="319">
        <v>413569.64</v>
      </c>
      <c r="F115" s="324"/>
      <c r="G115" s="323"/>
      <c r="H115" s="325"/>
      <c r="L115" s="251">
        <v>1</v>
      </c>
      <c r="O115" s="282" t="e">
        <f>D115/#REF!</f>
        <v>#REF!</v>
      </c>
    </row>
    <row r="116" spans="1:15" ht="15" customHeight="1">
      <c r="A116" s="133" t="s">
        <v>1814</v>
      </c>
      <c r="B116" s="254" t="s">
        <v>2014</v>
      </c>
      <c r="C116" s="127" t="s">
        <v>1924</v>
      </c>
      <c r="D116" s="277">
        <f>LOOKUP(A116,'[3]PT'!$A$2:$A$725,'[3]PT'!$D$2:$D$725)</f>
        <v>623</v>
      </c>
      <c r="E116" s="319">
        <v>105.834</v>
      </c>
      <c r="F116" s="322"/>
      <c r="G116" s="321"/>
      <c r="H116" s="325"/>
      <c r="O116" s="282" t="e">
        <f>D116/#REF!</f>
        <v>#REF!</v>
      </c>
    </row>
    <row r="117" spans="1:15" ht="15" customHeight="1">
      <c r="A117" s="133" t="s">
        <v>1837</v>
      </c>
      <c r="B117" s="254" t="s">
        <v>119</v>
      </c>
      <c r="C117" s="127" t="s">
        <v>178</v>
      </c>
      <c r="D117" s="277">
        <f>LOOKUP(A117,'[3]PT'!$A$2:$A$725,'[3]PT'!$D$2:$D$725)</f>
        <v>1159176.63</v>
      </c>
      <c r="E117" s="319">
        <v>212400</v>
      </c>
      <c r="F117" s="324"/>
      <c r="G117" s="323"/>
      <c r="H117" s="325"/>
      <c r="I117" s="302" t="s">
        <v>1151</v>
      </c>
      <c r="L117" s="251">
        <v>1</v>
      </c>
      <c r="O117" s="282" t="e">
        <f>D117/#REF!</f>
        <v>#REF!</v>
      </c>
    </row>
    <row r="118" spans="1:15" ht="15" customHeight="1">
      <c r="A118" s="133" t="s">
        <v>2015</v>
      </c>
      <c r="B118" s="254" t="s">
        <v>119</v>
      </c>
      <c r="C118" s="127" t="s">
        <v>1924</v>
      </c>
      <c r="D118" s="277">
        <f>LOOKUP(A118,'[3]PT'!$A$2:$A$725,'[3]PT'!$D$2:$D$725)</f>
        <v>501.17</v>
      </c>
      <c r="E118" s="319">
        <v>72.429</v>
      </c>
      <c r="F118" s="322"/>
      <c r="G118" s="321"/>
      <c r="H118" s="325"/>
      <c r="O118" s="326" t="e">
        <f>D118/#REF!</f>
        <v>#REF!</v>
      </c>
    </row>
    <row r="119" spans="1:15" ht="15" customHeight="1">
      <c r="A119" s="133" t="s">
        <v>2016</v>
      </c>
      <c r="B119" s="254" t="s">
        <v>117</v>
      </c>
      <c r="C119" s="127" t="s">
        <v>178</v>
      </c>
      <c r="D119" s="277">
        <f>LOOKUP(A119,'[3]PT'!$A$2:$A$725,'[3]PT'!$D$2:$D$725)</f>
        <v>1464181.429</v>
      </c>
      <c r="E119" s="319">
        <v>379549.53</v>
      </c>
      <c r="F119" s="324"/>
      <c r="G119" s="323"/>
      <c r="H119" s="325"/>
      <c r="L119" s="251">
        <v>1</v>
      </c>
      <c r="O119" s="326" t="e">
        <f>D119/#REF!</f>
        <v>#REF!</v>
      </c>
    </row>
    <row r="120" spans="1:15" ht="15" customHeight="1">
      <c r="A120" s="133" t="s">
        <v>1836</v>
      </c>
      <c r="B120" s="254" t="s">
        <v>117</v>
      </c>
      <c r="C120" s="127" t="s">
        <v>1924</v>
      </c>
      <c r="D120" s="277">
        <f>LOOKUP(A120,'[3]PT'!$A$2:$A$725,'[3]PT'!$D$2:$D$725)</f>
        <v>486.22</v>
      </c>
      <c r="E120" s="319">
        <v>92.042</v>
      </c>
      <c r="F120" s="322"/>
      <c r="G120" s="321"/>
      <c r="H120" s="325"/>
      <c r="O120" s="326" t="e">
        <f>D120/#REF!</f>
        <v>#REF!</v>
      </c>
    </row>
    <row r="121" spans="1:15" ht="15" customHeight="1">
      <c r="A121" s="133" t="s">
        <v>2017</v>
      </c>
      <c r="B121" s="254" t="s">
        <v>2018</v>
      </c>
      <c r="C121" s="127" t="s">
        <v>178</v>
      </c>
      <c r="D121" s="277">
        <f>LOOKUP(A121,'[3]PT'!$A$2:$A$725,'[3]PT'!$D$2:$D$725)</f>
        <v>886444.17</v>
      </c>
      <c r="E121" s="319">
        <v>236000</v>
      </c>
      <c r="F121" s="324"/>
      <c r="G121" s="323"/>
      <c r="H121" s="325"/>
      <c r="L121" s="251">
        <v>1</v>
      </c>
      <c r="O121" s="326" t="e">
        <f>D121/#REF!</f>
        <v>#REF!</v>
      </c>
    </row>
    <row r="122" spans="1:15" ht="15" customHeight="1">
      <c r="A122" s="133" t="s">
        <v>2019</v>
      </c>
      <c r="B122" s="254" t="s">
        <v>2018</v>
      </c>
      <c r="C122" s="127" t="s">
        <v>1924</v>
      </c>
      <c r="D122" s="277">
        <f>LOOKUP(A122,'[3]PT'!$A$2:$A$725,'[3]PT'!$D$2:$D$725)</f>
        <v>299.78</v>
      </c>
      <c r="E122" s="319">
        <v>57.27</v>
      </c>
      <c r="F122" s="322"/>
      <c r="G122" s="321"/>
      <c r="H122" s="325"/>
      <c r="I122" s="327" t="s">
        <v>1429</v>
      </c>
      <c r="O122" s="326" t="e">
        <f>D122/#REF!</f>
        <v>#REF!</v>
      </c>
    </row>
    <row r="123" spans="1:15" ht="15" customHeight="1">
      <c r="A123" s="133" t="s">
        <v>2020</v>
      </c>
      <c r="B123" s="254" t="s">
        <v>2021</v>
      </c>
      <c r="C123" s="127" t="s">
        <v>178</v>
      </c>
      <c r="D123" s="277">
        <f>LOOKUP(A123,'[3]PT'!$A$2:$A$725,'[3]PT'!$D$2:$D$725)</f>
        <v>1190048.37</v>
      </c>
      <c r="E123" s="319">
        <v>374650</v>
      </c>
      <c r="F123" s="324"/>
      <c r="G123" s="323"/>
      <c r="H123" s="325"/>
      <c r="L123" s="251">
        <v>1</v>
      </c>
      <c r="O123" s="326" t="e">
        <f>D123/#REF!</f>
        <v>#REF!</v>
      </c>
    </row>
    <row r="124" spans="1:15" ht="15" customHeight="1">
      <c r="A124" s="133" t="s">
        <v>1815</v>
      </c>
      <c r="B124" s="254" t="s">
        <v>2021</v>
      </c>
      <c r="C124" s="127" t="s">
        <v>1924</v>
      </c>
      <c r="D124" s="277">
        <f>LOOKUP(A124,'[3]PT'!$A$2:$A$725,'[3]PT'!$D$2:$D$725)</f>
        <v>419.14</v>
      </c>
      <c r="E124" s="319">
        <v>86.679</v>
      </c>
      <c r="F124" s="322"/>
      <c r="G124" s="321"/>
      <c r="H124" s="296"/>
      <c r="O124" s="326" t="e">
        <f>D124/#REF!</f>
        <v>#REF!</v>
      </c>
    </row>
    <row r="125" spans="1:15" ht="15" customHeight="1">
      <c r="A125" s="133" t="s">
        <v>2022</v>
      </c>
      <c r="B125" s="254" t="s">
        <v>229</v>
      </c>
      <c r="C125" s="127" t="s">
        <v>178</v>
      </c>
      <c r="D125" s="277">
        <f>LOOKUP(A125,'[3]PT'!$A$2:$A$725,'[3]PT'!$D$2:$D$725)</f>
        <v>1666568.69</v>
      </c>
      <c r="E125" s="319">
        <v>295000</v>
      </c>
      <c r="F125" s="324"/>
      <c r="G125" s="323"/>
      <c r="H125" s="325"/>
      <c r="L125" s="251">
        <v>1</v>
      </c>
      <c r="O125" s="326" t="e">
        <f>D125/#REF!</f>
        <v>#REF!</v>
      </c>
    </row>
    <row r="126" spans="1:15" ht="15" customHeight="1">
      <c r="A126" s="133" t="s">
        <v>2024</v>
      </c>
      <c r="B126" s="254" t="s">
        <v>2023</v>
      </c>
      <c r="C126" s="127" t="s">
        <v>1924</v>
      </c>
      <c r="D126" s="277">
        <f>LOOKUP(A126,'[3]PT'!$A$2:$A$725,'[3]PT'!$D$2:$D$725)</f>
        <v>727.26</v>
      </c>
      <c r="E126" s="319">
        <v>105.05</v>
      </c>
      <c r="F126" s="322"/>
      <c r="G126" s="321"/>
      <c r="H126" s="325"/>
      <c r="O126" s="326" t="e">
        <f>D126/#REF!</f>
        <v>#REF!</v>
      </c>
    </row>
    <row r="127" spans="1:15" ht="15" customHeight="1">
      <c r="A127" s="133" t="s">
        <v>2025</v>
      </c>
      <c r="B127" s="254" t="s">
        <v>230</v>
      </c>
      <c r="C127" s="127" t="s">
        <v>178</v>
      </c>
      <c r="D127" s="277">
        <f>LOOKUP(A127,'[3]PT'!$A$2:$A$725,'[3]PT'!$D$2:$D$725)</f>
        <v>678862.81</v>
      </c>
      <c r="E127" s="319">
        <v>177000</v>
      </c>
      <c r="F127" s="324"/>
      <c r="G127" s="323"/>
      <c r="H127" s="325"/>
      <c r="L127" s="251">
        <v>1</v>
      </c>
      <c r="O127" s="326" t="e">
        <f>D127/#REF!</f>
        <v>#REF!</v>
      </c>
    </row>
    <row r="128" spans="1:15" ht="15" customHeight="1">
      <c r="A128" s="133" t="s">
        <v>1</v>
      </c>
      <c r="B128" s="254" t="s">
        <v>0</v>
      </c>
      <c r="C128" s="127" t="s">
        <v>1924</v>
      </c>
      <c r="D128" s="277">
        <f>LOOKUP(A128,'[3]PT'!$A$2:$A$725,'[3]PT'!$D$2:$D$725)</f>
        <v>257.31</v>
      </c>
      <c r="E128" s="319">
        <v>43.075</v>
      </c>
      <c r="F128" s="322"/>
      <c r="G128" s="321"/>
      <c r="H128" s="325"/>
      <c r="O128" s="326" t="e">
        <f>D128/#REF!</f>
        <v>#REF!</v>
      </c>
    </row>
    <row r="129" spans="1:15" ht="15" customHeight="1">
      <c r="A129" s="133" t="s">
        <v>4</v>
      </c>
      <c r="B129" s="254" t="s">
        <v>228</v>
      </c>
      <c r="C129" s="127" t="s">
        <v>178</v>
      </c>
      <c r="D129" s="277">
        <f>LOOKUP(A129,'[3]PT'!$A$2:$A$725,'[3]PT'!$D$2:$D$725)</f>
        <v>2309826.3032</v>
      </c>
      <c r="E129" s="319">
        <v>610060</v>
      </c>
      <c r="F129" s="324"/>
      <c r="G129" s="323"/>
      <c r="H129" s="325"/>
      <c r="L129" s="251">
        <v>1</v>
      </c>
      <c r="O129" s="326" t="e">
        <f>D129/#REF!</f>
        <v>#REF!</v>
      </c>
    </row>
    <row r="130" spans="1:15" ht="15" customHeight="1">
      <c r="A130" s="133" t="s">
        <v>273</v>
      </c>
      <c r="B130" s="254" t="s">
        <v>228</v>
      </c>
      <c r="C130" s="127" t="s">
        <v>1924</v>
      </c>
      <c r="D130" s="277">
        <f>LOOKUP(A130,'[3]PT'!$A$2:$A$725,'[3]PT'!$D$2:$D$725)</f>
        <v>690.38</v>
      </c>
      <c r="E130" s="319">
        <v>135.452</v>
      </c>
      <c r="F130" s="322"/>
      <c r="G130" s="318"/>
      <c r="H130" s="325"/>
      <c r="O130" s="326" t="e">
        <f>D130/#REF!</f>
        <v>#REF!</v>
      </c>
    </row>
    <row r="131" spans="1:15" ht="15" customHeight="1">
      <c r="A131" s="133" t="s">
        <v>1485</v>
      </c>
      <c r="B131" s="254" t="s">
        <v>231</v>
      </c>
      <c r="C131" s="127" t="s">
        <v>178</v>
      </c>
      <c r="D131" s="277">
        <f>LOOKUP(A131,'[3]PT'!$A$2:$A$725,'[3]PT'!$D$2:$D$725)</f>
        <v>27783.45</v>
      </c>
      <c r="E131" s="328">
        <f>2000*D195</f>
        <v>16320</v>
      </c>
      <c r="F131" s="324"/>
      <c r="G131" s="318"/>
      <c r="H131" s="325"/>
      <c r="L131" s="251">
        <v>1</v>
      </c>
      <c r="O131" s="326" t="e">
        <f>D131/#REF!</f>
        <v>#REF!</v>
      </c>
    </row>
    <row r="132" spans="1:15" ht="15" customHeight="1">
      <c r="A132" s="133" t="s">
        <v>419</v>
      </c>
      <c r="B132" s="254" t="s">
        <v>231</v>
      </c>
      <c r="C132" s="127" t="s">
        <v>1924</v>
      </c>
      <c r="D132" s="277">
        <f>LOOKUP(A132,'[3]PT'!$A$2:$A$725,'[3]PT'!$D$2:$D$725)</f>
        <v>27783.45</v>
      </c>
      <c r="E132" s="329">
        <v>0</v>
      </c>
      <c r="F132" s="322"/>
      <c r="G132" s="295"/>
      <c r="H132" s="325"/>
      <c r="O132" s="326" t="e">
        <f>D132/#REF!</f>
        <v>#REF!</v>
      </c>
    </row>
    <row r="133" spans="1:15" ht="15" customHeight="1">
      <c r="A133" s="133" t="s">
        <v>1486</v>
      </c>
      <c r="B133" s="254" t="s">
        <v>232</v>
      </c>
      <c r="C133" s="127" t="s">
        <v>178</v>
      </c>
      <c r="D133" s="277">
        <f>LOOKUP(A133,'[3]PT'!$A$2:$A$725,'[3]PT'!$D$2:$D$725)</f>
        <v>6080.69</v>
      </c>
      <c r="E133" s="328">
        <f>1650*D195</f>
        <v>13464</v>
      </c>
      <c r="F133" s="324"/>
      <c r="G133" s="321"/>
      <c r="H133" s="325"/>
      <c r="L133" s="251">
        <v>1</v>
      </c>
      <c r="O133" s="326" t="e">
        <f>D133/#REF!</f>
        <v>#REF!</v>
      </c>
    </row>
    <row r="134" spans="1:15" ht="15" customHeight="1">
      <c r="A134" s="133" t="s">
        <v>420</v>
      </c>
      <c r="B134" s="254" t="s">
        <v>232</v>
      </c>
      <c r="C134" s="127" t="s">
        <v>1924</v>
      </c>
      <c r="D134" s="277">
        <f>LOOKUP(A134,'[3]PT'!$A$2:$A$725,'[3]PT'!$D$2:$D$725)</f>
        <v>6080.69</v>
      </c>
      <c r="E134" s="329">
        <v>0</v>
      </c>
      <c r="F134" s="322"/>
      <c r="G134" s="321"/>
      <c r="H134" s="302"/>
      <c r="O134" s="326" t="e">
        <f>D134/#REF!</f>
        <v>#REF!</v>
      </c>
    </row>
    <row r="135" spans="1:15" ht="15" customHeight="1">
      <c r="A135" s="133" t="s">
        <v>166</v>
      </c>
      <c r="B135" s="254" t="s">
        <v>233</v>
      </c>
      <c r="C135" s="127" t="s">
        <v>178</v>
      </c>
      <c r="D135" s="277">
        <f>LOOKUP(A135,'[3]PT'!$A$2:$A$725,'[3]PT'!$D$2:$D$725)</f>
        <v>1961734.3524</v>
      </c>
      <c r="E135" s="328">
        <f>135000*D195</f>
        <v>1101600</v>
      </c>
      <c r="F135" s="324"/>
      <c r="G135" s="323"/>
      <c r="H135" s="302"/>
      <c r="L135" s="251">
        <v>1</v>
      </c>
      <c r="O135" s="326" t="e">
        <f>D135/#REF!</f>
        <v>#REF!</v>
      </c>
    </row>
    <row r="136" spans="1:15" ht="15" customHeight="1">
      <c r="A136" s="133" t="s">
        <v>421</v>
      </c>
      <c r="B136" s="254" t="s">
        <v>233</v>
      </c>
      <c r="C136" s="127" t="s">
        <v>1924</v>
      </c>
      <c r="D136" s="277">
        <f>LOOKUP(A136,'[3]PT'!$A$2:$A$725,'[3]PT'!$D$2:$D$725)</f>
        <v>221586</v>
      </c>
      <c r="E136" s="329">
        <v>0</v>
      </c>
      <c r="F136" s="322"/>
      <c r="G136" s="321"/>
      <c r="H136" s="302"/>
      <c r="O136" s="326" t="e">
        <f>D136/#REF!</f>
        <v>#REF!</v>
      </c>
    </row>
    <row r="137" spans="1:15" ht="15" customHeight="1">
      <c r="A137" s="133" t="s">
        <v>167</v>
      </c>
      <c r="B137" s="254" t="s">
        <v>234</v>
      </c>
      <c r="C137" s="127" t="s">
        <v>178</v>
      </c>
      <c r="D137" s="277">
        <f>LOOKUP(A137,'[3]PT'!$A$2:$A$725,'[3]PT'!$D$2:$D$725)</f>
        <v>27517.9935</v>
      </c>
      <c r="E137" s="328">
        <f>2500*D195</f>
        <v>20400</v>
      </c>
      <c r="F137" s="324"/>
      <c r="G137" s="323"/>
      <c r="H137" s="302"/>
      <c r="L137" s="251">
        <v>1</v>
      </c>
      <c r="O137" s="326" t="e">
        <f>D137/#REF!</f>
        <v>#REF!</v>
      </c>
    </row>
    <row r="138" spans="1:15" ht="15" customHeight="1">
      <c r="A138" s="133" t="s">
        <v>422</v>
      </c>
      <c r="B138" s="254" t="s">
        <v>234</v>
      </c>
      <c r="C138" s="127" t="s">
        <v>1924</v>
      </c>
      <c r="D138" s="277">
        <f>LOOKUP(A138,'[3]PT'!$A$2:$A$725,'[3]PT'!$D$2:$D$725)</f>
        <v>19833.66</v>
      </c>
      <c r="E138" s="329">
        <v>0</v>
      </c>
      <c r="F138" s="322"/>
      <c r="G138" s="321"/>
      <c r="H138" s="302"/>
      <c r="O138" s="326" t="e">
        <f>D138/#REF!</f>
        <v>#REF!</v>
      </c>
    </row>
    <row r="139" spans="1:15" ht="15" customHeight="1">
      <c r="A139" s="133" t="s">
        <v>1488</v>
      </c>
      <c r="B139" s="254" t="s">
        <v>235</v>
      </c>
      <c r="C139" s="127" t="s">
        <v>178</v>
      </c>
      <c r="D139" s="277">
        <f>LOOKUP(A139,'[3]PT'!$A$2:$A$725,'[3]PT'!$D$2:$D$725)</f>
        <v>85994.83</v>
      </c>
      <c r="E139" s="328">
        <f>4000*D195</f>
        <v>32640</v>
      </c>
      <c r="F139" s="324"/>
      <c r="G139" s="323"/>
      <c r="H139" s="325"/>
      <c r="L139" s="251">
        <v>1</v>
      </c>
      <c r="O139" s="326" t="e">
        <f>D139/#REF!</f>
        <v>#REF!</v>
      </c>
    </row>
    <row r="140" spans="1:15" ht="15" customHeight="1">
      <c r="A140" s="133" t="s">
        <v>423</v>
      </c>
      <c r="B140" s="254" t="s">
        <v>235</v>
      </c>
      <c r="C140" s="127" t="s">
        <v>1924</v>
      </c>
      <c r="D140" s="277">
        <f>LOOKUP(A140,'[3]PT'!$A$2:$A$725,'[3]PT'!$D$2:$D$725)</f>
        <v>85994.83</v>
      </c>
      <c r="E140" s="329">
        <v>0</v>
      </c>
      <c r="F140" s="322"/>
      <c r="G140" s="321"/>
      <c r="H140" s="325"/>
      <c r="O140" s="326" t="e">
        <f>D140/#REF!</f>
        <v>#REF!</v>
      </c>
    </row>
    <row r="141" spans="1:15" ht="15" customHeight="1">
      <c r="A141" s="133" t="s">
        <v>168</v>
      </c>
      <c r="B141" s="254" t="s">
        <v>121</v>
      </c>
      <c r="C141" s="127" t="s">
        <v>178</v>
      </c>
      <c r="D141" s="277">
        <f>LOOKUP(A141,'[3]PT'!$A$2:$A$725,'[3]PT'!$D$2:$D$725)</f>
        <v>231235.01</v>
      </c>
      <c r="E141" s="328">
        <f>23000*D195</f>
        <v>187680</v>
      </c>
      <c r="F141" s="324"/>
      <c r="G141" s="323"/>
      <c r="H141" s="325"/>
      <c r="L141" s="251">
        <v>1</v>
      </c>
      <c r="O141" s="326" t="e">
        <f>D141/#REF!</f>
        <v>#REF!</v>
      </c>
    </row>
    <row r="142" spans="1:15" ht="15" customHeight="1">
      <c r="A142" s="133" t="s">
        <v>424</v>
      </c>
      <c r="B142" s="254" t="s">
        <v>121</v>
      </c>
      <c r="C142" s="127" t="s">
        <v>1924</v>
      </c>
      <c r="D142" s="277">
        <f>LOOKUP(A142,'[3]PT'!$A$2:$A$725,'[3]PT'!$D$2:$D$725)</f>
        <v>231235.01</v>
      </c>
      <c r="E142" s="329">
        <v>0</v>
      </c>
      <c r="F142" s="330"/>
      <c r="G142" s="321"/>
      <c r="H142" s="325"/>
      <c r="O142" s="326" t="e">
        <f>D142/#REF!</f>
        <v>#REF!</v>
      </c>
    </row>
    <row r="143" spans="1:15" ht="15" customHeight="1">
      <c r="A143" s="133" t="s">
        <v>165</v>
      </c>
      <c r="B143" s="254" t="s">
        <v>122</v>
      </c>
      <c r="C143" s="127" t="s">
        <v>178</v>
      </c>
      <c r="D143" s="277">
        <f>LOOKUP(A143,'[3]PT'!$A$2:$A$725,'[3]PT'!$D$2:$D$725)</f>
        <v>150805.57</v>
      </c>
      <c r="E143" s="328">
        <f>15000*D195</f>
        <v>122400</v>
      </c>
      <c r="F143" s="324"/>
      <c r="G143" s="323"/>
      <c r="H143" s="325"/>
      <c r="L143" s="251">
        <v>1</v>
      </c>
      <c r="O143" s="326" t="e">
        <f>D143/#REF!</f>
        <v>#REF!</v>
      </c>
    </row>
    <row r="144" spans="1:15" ht="15" customHeight="1">
      <c r="A144" s="133" t="s">
        <v>425</v>
      </c>
      <c r="B144" s="254" t="s">
        <v>122</v>
      </c>
      <c r="C144" s="127" t="s">
        <v>1924</v>
      </c>
      <c r="D144" s="277">
        <f>LOOKUP(A144,'[3]PT'!$A$2:$A$725,'[3]PT'!$D$2:$D$725)</f>
        <v>150805.57</v>
      </c>
      <c r="E144" s="329">
        <v>0</v>
      </c>
      <c r="F144" s="330"/>
      <c r="G144" s="323"/>
      <c r="H144" s="302"/>
      <c r="O144" s="326" t="e">
        <f>D144/#REF!</f>
        <v>#REF!</v>
      </c>
    </row>
    <row r="145" spans="1:15" ht="15" customHeight="1">
      <c r="A145" s="133" t="s">
        <v>169</v>
      </c>
      <c r="B145" s="254" t="s">
        <v>236</v>
      </c>
      <c r="C145" s="127" t="s">
        <v>178</v>
      </c>
      <c r="D145" s="277">
        <f>LOOKUP(A145,'[3]PT'!$A$2:$A$725,'[3]PT'!$D$2:$D$725)</f>
        <v>170912.81</v>
      </c>
      <c r="E145" s="328">
        <f>17000*D195</f>
        <v>138720</v>
      </c>
      <c r="F145" s="324"/>
      <c r="G145" s="323"/>
      <c r="H145" s="302"/>
      <c r="L145" s="251">
        <v>1</v>
      </c>
      <c r="O145" s="326" t="e">
        <f>D145/#REF!</f>
        <v>#REF!</v>
      </c>
    </row>
    <row r="146" spans="1:15" ht="15" customHeight="1">
      <c r="A146" s="133" t="s">
        <v>426</v>
      </c>
      <c r="B146" s="254" t="s">
        <v>236</v>
      </c>
      <c r="C146" s="127" t="s">
        <v>1924</v>
      </c>
      <c r="D146" s="277">
        <f>LOOKUP(A146,'[3]PT'!$A$2:$A$725,'[3]PT'!$D$2:$D$725)</f>
        <v>170912.81</v>
      </c>
      <c r="E146" s="329">
        <v>0</v>
      </c>
      <c r="F146" s="330"/>
      <c r="G146" s="321"/>
      <c r="H146" s="302"/>
      <c r="O146" s="326" t="e">
        <f>D146/#REF!</f>
        <v>#REF!</v>
      </c>
    </row>
    <row r="147" spans="1:15" ht="15" customHeight="1">
      <c r="A147" s="133" t="s">
        <v>170</v>
      </c>
      <c r="B147" s="254" t="s">
        <v>123</v>
      </c>
      <c r="C147" s="127" t="s">
        <v>178</v>
      </c>
      <c r="D147" s="277">
        <f>LOOKUP(A147,'[3]PT'!$A$2:$A$725,'[3]PT'!$D$2:$D$725)</f>
        <v>71957.6229</v>
      </c>
      <c r="E147" s="328">
        <f>5000*D195</f>
        <v>40800</v>
      </c>
      <c r="F147" s="324"/>
      <c r="G147" s="323"/>
      <c r="H147" s="302"/>
      <c r="L147" s="251">
        <v>1</v>
      </c>
      <c r="O147" s="326" t="e">
        <f>D147/#REF!</f>
        <v>#REF!</v>
      </c>
    </row>
    <row r="148" spans="1:15" ht="15" customHeight="1">
      <c r="A148" s="133" t="s">
        <v>427</v>
      </c>
      <c r="B148" s="254" t="s">
        <v>123</v>
      </c>
      <c r="C148" s="127" t="s">
        <v>1924</v>
      </c>
      <c r="D148" s="277">
        <f>LOOKUP(A148,'[3]PT'!$A$2:$A$725,'[3]PT'!$D$2:$D$725)</f>
        <v>79660.63</v>
      </c>
      <c r="E148" s="329">
        <v>0</v>
      </c>
      <c r="F148" s="322"/>
      <c r="G148" s="321"/>
      <c r="H148" s="302"/>
      <c r="I148" s="126">
        <v>5900</v>
      </c>
      <c r="O148" s="326" t="e">
        <f>D148/#REF!</f>
        <v>#REF!</v>
      </c>
    </row>
    <row r="149" spans="1:15" ht="15" customHeight="1">
      <c r="A149" s="133" t="s">
        <v>1489</v>
      </c>
      <c r="B149" s="254" t="s">
        <v>120</v>
      </c>
      <c r="C149" s="127" t="s">
        <v>178</v>
      </c>
      <c r="D149" s="277">
        <f>LOOKUP(A149,'[3]PT'!$A$2:$A$725,'[3]PT'!$D$2:$D$725)</f>
        <v>859764.71</v>
      </c>
      <c r="E149" s="328">
        <f>23500*D195</f>
        <v>191760</v>
      </c>
      <c r="F149" s="324"/>
      <c r="G149" s="323"/>
      <c r="L149" s="251">
        <v>1</v>
      </c>
      <c r="O149" s="326" t="e">
        <f>D149/#REF!</f>
        <v>#REF!</v>
      </c>
    </row>
    <row r="150" spans="1:15" ht="15" customHeight="1">
      <c r="A150" s="133" t="s">
        <v>428</v>
      </c>
      <c r="B150" s="254" t="s">
        <v>120</v>
      </c>
      <c r="C150" s="127" t="s">
        <v>1924</v>
      </c>
      <c r="D150" s="277">
        <f>LOOKUP(A150,'[3]PT'!$A$2:$A$725,'[3]PT'!$D$2:$D$725)</f>
        <v>859764.71</v>
      </c>
      <c r="E150" s="329">
        <v>0</v>
      </c>
      <c r="F150" s="322"/>
      <c r="G150" s="321"/>
      <c r="H150" s="302"/>
      <c r="O150" s="326" t="e">
        <f>D150/#REF!</f>
        <v>#REF!</v>
      </c>
    </row>
    <row r="151" spans="1:15" ht="15" customHeight="1">
      <c r="A151" s="133" t="s">
        <v>1490</v>
      </c>
      <c r="B151" s="254" t="s">
        <v>237</v>
      </c>
      <c r="C151" s="127" t="s">
        <v>178</v>
      </c>
      <c r="D151" s="277">
        <f>LOOKUP(A151,'[3]PT'!$A$2:$A$725,'[3]PT'!$D$2:$D$725)</f>
        <v>20445.81</v>
      </c>
      <c r="E151" s="328">
        <f>2000*D195</f>
        <v>16320</v>
      </c>
      <c r="F151" s="324"/>
      <c r="G151" s="323"/>
      <c r="H151" s="331"/>
      <c r="L151" s="251">
        <v>1</v>
      </c>
      <c r="O151" s="326" t="e">
        <f>D151/#REF!</f>
        <v>#REF!</v>
      </c>
    </row>
    <row r="152" spans="1:15" ht="15" customHeight="1">
      <c r="A152" s="133" t="s">
        <v>429</v>
      </c>
      <c r="B152" s="254" t="s">
        <v>237</v>
      </c>
      <c r="C152" s="127" t="s">
        <v>1924</v>
      </c>
      <c r="D152" s="277">
        <f>LOOKUP(A152,'[3]PT'!$A$2:$A$725,'[3]PT'!$D$2:$D$725)</f>
        <v>20445.81</v>
      </c>
      <c r="E152" s="329">
        <v>0</v>
      </c>
      <c r="F152" s="322"/>
      <c r="G152" s="321"/>
      <c r="H152" s="302"/>
      <c r="I152" s="251">
        <f>750+85+21</f>
        <v>856</v>
      </c>
      <c r="O152" s="326" t="e">
        <f>D152/#REF!</f>
        <v>#REF!</v>
      </c>
    </row>
    <row r="153" spans="1:15" ht="15" customHeight="1">
      <c r="A153" s="133" t="s">
        <v>430</v>
      </c>
      <c r="B153" s="254" t="s">
        <v>431</v>
      </c>
      <c r="C153" s="127" t="s">
        <v>178</v>
      </c>
      <c r="D153" s="277">
        <f>LOOKUP(A153,'[3]PT'!$A$2:$A$725,'[3]PT'!$D$2:$D$725)</f>
        <v>23386.5297</v>
      </c>
      <c r="E153" s="332"/>
      <c r="F153" s="324"/>
      <c r="G153" s="333">
        <v>2891</v>
      </c>
      <c r="H153" s="334" t="s">
        <v>1225</v>
      </c>
      <c r="L153" s="251">
        <v>1</v>
      </c>
      <c r="O153" s="326" t="e">
        <f>D153/#REF!</f>
        <v>#REF!</v>
      </c>
    </row>
    <row r="154" spans="1:15" ht="15" customHeight="1">
      <c r="A154" s="133" t="s">
        <v>432</v>
      </c>
      <c r="B154" s="254" t="s">
        <v>431</v>
      </c>
      <c r="C154" s="127" t="s">
        <v>1924</v>
      </c>
      <c r="D154" s="277">
        <f>LOOKUP(A154,'[3]PT'!$A$2:$A$725,'[3]PT'!$D$2:$D$725)</f>
        <v>23386.5297</v>
      </c>
      <c r="E154" s="329"/>
      <c r="F154" s="322"/>
      <c r="G154" s="321"/>
      <c r="H154" s="302"/>
      <c r="O154" s="326" t="e">
        <f>D154/#REF!</f>
        <v>#REF!</v>
      </c>
    </row>
    <row r="155" spans="1:15" ht="15" customHeight="1">
      <c r="A155" s="133" t="s">
        <v>433</v>
      </c>
      <c r="B155" s="254" t="s">
        <v>434</v>
      </c>
      <c r="C155" s="127" t="s">
        <v>178</v>
      </c>
      <c r="D155" s="277">
        <f>LOOKUP(A155,'[3]PT'!$A$2:$A$725,'[3]PT'!$D$2:$D$725)</f>
        <v>23386.5297</v>
      </c>
      <c r="E155" s="332"/>
      <c r="F155" s="324"/>
      <c r="G155" s="333">
        <f>2489*D195</f>
        <v>20310.24</v>
      </c>
      <c r="H155" s="334" t="s">
        <v>1152</v>
      </c>
      <c r="L155" s="251">
        <v>1</v>
      </c>
      <c r="O155" s="326" t="e">
        <f>D155/#REF!</f>
        <v>#REF!</v>
      </c>
    </row>
    <row r="156" spans="1:15" ht="15" customHeight="1">
      <c r="A156" s="133" t="s">
        <v>435</v>
      </c>
      <c r="B156" s="254" t="s">
        <v>1049</v>
      </c>
      <c r="C156" s="127" t="s">
        <v>1924</v>
      </c>
      <c r="D156" s="277">
        <f>LOOKUP(A156,'[3]PT'!$A$2:$A$725,'[3]PT'!$D$2:$D$725)</f>
        <v>23386.5297</v>
      </c>
      <c r="E156" s="329"/>
      <c r="F156" s="322"/>
      <c r="G156" s="321"/>
      <c r="H156" s="302"/>
      <c r="O156" s="326" t="e">
        <f>D156/#REF!</f>
        <v>#REF!</v>
      </c>
    </row>
    <row r="157" spans="1:15" ht="15" customHeight="1">
      <c r="A157" s="133" t="s">
        <v>1491</v>
      </c>
      <c r="B157" s="254" t="s">
        <v>1050</v>
      </c>
      <c r="C157" s="127" t="s">
        <v>178</v>
      </c>
      <c r="D157" s="277">
        <f>LOOKUP(A157,'[3]PT'!$A$2:$A$725,'[3]PT'!$D$2:$D$725)</f>
        <v>183645</v>
      </c>
      <c r="E157" s="332"/>
      <c r="F157" s="324"/>
      <c r="G157" s="333">
        <v>44250</v>
      </c>
      <c r="H157" s="334" t="s">
        <v>1241</v>
      </c>
      <c r="L157" s="251">
        <v>1</v>
      </c>
      <c r="O157" s="326" t="e">
        <f>D157/#REF!</f>
        <v>#REF!</v>
      </c>
    </row>
    <row r="158" spans="1:15" ht="15" customHeight="1">
      <c r="A158" s="133" t="s">
        <v>1051</v>
      </c>
      <c r="B158" s="254" t="s">
        <v>1052</v>
      </c>
      <c r="C158" s="127" t="s">
        <v>1924</v>
      </c>
      <c r="D158" s="277">
        <f>LOOKUP(A158,'[3]PT'!$A$2:$A$725,'[3]PT'!$D$2:$D$725)</f>
        <v>183645</v>
      </c>
      <c r="E158" s="329"/>
      <c r="F158" s="322"/>
      <c r="G158" s="321"/>
      <c r="H158" s="302"/>
      <c r="O158" s="326" t="e">
        <f>D158/#REF!</f>
        <v>#REF!</v>
      </c>
    </row>
    <row r="159" spans="1:15" ht="15" customHeight="1">
      <c r="A159" s="133" t="s">
        <v>1053</v>
      </c>
      <c r="B159" s="254" t="s">
        <v>1430</v>
      </c>
      <c r="C159" s="127" t="s">
        <v>178</v>
      </c>
      <c r="D159" s="277">
        <f>LOOKUP(A159,'[3]PT'!$A$2:$A$725,'[3]PT'!$D$2:$D$725)</f>
        <v>183645</v>
      </c>
      <c r="E159" s="332"/>
      <c r="F159" s="324"/>
      <c r="G159" s="333">
        <v>63130</v>
      </c>
      <c r="H159" s="334" t="s">
        <v>1241</v>
      </c>
      <c r="L159" s="251">
        <v>1</v>
      </c>
      <c r="O159" s="326" t="e">
        <f>D159/#REF!</f>
        <v>#REF!</v>
      </c>
    </row>
    <row r="160" spans="1:15" ht="15" customHeight="1">
      <c r="A160" s="133" t="s">
        <v>1054</v>
      </c>
      <c r="B160" s="254" t="s">
        <v>1213</v>
      </c>
      <c r="C160" s="127" t="s">
        <v>1924</v>
      </c>
      <c r="D160" s="277">
        <f>LOOKUP(A160,'[3]PT'!$A$2:$A$725,'[3]PT'!$D$2:$D$725)</f>
        <v>183645</v>
      </c>
      <c r="E160" s="329"/>
      <c r="F160" s="322"/>
      <c r="G160" s="321"/>
      <c r="H160" s="302"/>
      <c r="O160" s="326" t="e">
        <f>D160/#REF!</f>
        <v>#REF!</v>
      </c>
    </row>
    <row r="161" spans="1:15" ht="15" customHeight="1">
      <c r="A161" s="133" t="s">
        <v>1493</v>
      </c>
      <c r="B161" s="254" t="s">
        <v>1055</v>
      </c>
      <c r="C161" s="127" t="s">
        <v>178</v>
      </c>
      <c r="D161" s="277">
        <f>LOOKUP(A161,'[3]PT'!$A$2:$A$725,'[3]PT'!$D$2:$D$725)</f>
        <v>114000</v>
      </c>
      <c r="E161" s="332"/>
      <c r="F161" s="324"/>
      <c r="G161" s="335">
        <v>28900</v>
      </c>
      <c r="H161" s="334" t="s">
        <v>1226</v>
      </c>
      <c r="L161" s="251">
        <v>1</v>
      </c>
      <c r="O161" s="326" t="e">
        <f>D161/#REF!</f>
        <v>#REF!</v>
      </c>
    </row>
    <row r="162" spans="1:15" ht="15" customHeight="1">
      <c r="A162" s="133" t="s">
        <v>1056</v>
      </c>
      <c r="B162" s="254" t="s">
        <v>1055</v>
      </c>
      <c r="C162" s="127" t="s">
        <v>1924</v>
      </c>
      <c r="D162" s="277">
        <f>LOOKUP(A162,'[3]PT'!$A$2:$A$725,'[3]PT'!$D$2:$D$725)</f>
        <v>114000</v>
      </c>
      <c r="E162" s="329"/>
      <c r="F162" s="322"/>
      <c r="G162" s="336"/>
      <c r="H162" s="302"/>
      <c r="O162" s="326" t="e">
        <f>D162/#REF!</f>
        <v>#REF!</v>
      </c>
    </row>
    <row r="163" spans="1:15" ht="15" customHeight="1">
      <c r="A163" s="133" t="s">
        <v>1494</v>
      </c>
      <c r="B163" s="254" t="s">
        <v>1057</v>
      </c>
      <c r="C163" s="127" t="s">
        <v>178</v>
      </c>
      <c r="D163" s="277">
        <f>LOOKUP(A163,'[3]PT'!$A$2:$A$725,'[3]PT'!$D$2:$D$725)</f>
        <v>278000</v>
      </c>
      <c r="E163" s="332"/>
      <c r="F163" s="324"/>
      <c r="G163" s="335">
        <v>68500</v>
      </c>
      <c r="H163" s="334" t="s">
        <v>1226</v>
      </c>
      <c r="I163" s="251" t="s">
        <v>1153</v>
      </c>
      <c r="L163" s="251">
        <v>1</v>
      </c>
      <c r="O163" s="326" t="e">
        <f>D163/#REF!</f>
        <v>#REF!</v>
      </c>
    </row>
    <row r="164" spans="1:15" ht="15" customHeight="1">
      <c r="A164" s="133" t="s">
        <v>1058</v>
      </c>
      <c r="B164" s="254" t="s">
        <v>1057</v>
      </c>
      <c r="C164" s="127" t="s">
        <v>1924</v>
      </c>
      <c r="D164" s="277">
        <f>LOOKUP(A164,'[3]PT'!$A$2:$A$725,'[3]PT'!$D$2:$D$725)</f>
        <v>278000</v>
      </c>
      <c r="E164" s="329"/>
      <c r="F164" s="322"/>
      <c r="G164" s="337"/>
      <c r="H164" s="334" t="s">
        <v>1226</v>
      </c>
      <c r="O164" s="326" t="e">
        <f>D164/#REF!</f>
        <v>#REF!</v>
      </c>
    </row>
    <row r="165" spans="1:15" ht="15" customHeight="1">
      <c r="A165" s="133" t="s">
        <v>1495</v>
      </c>
      <c r="B165" s="254" t="s">
        <v>1059</v>
      </c>
      <c r="C165" s="127" t="s">
        <v>178</v>
      </c>
      <c r="D165" s="277">
        <f>LOOKUP(A165,'[3]PT'!$A$2:$A$725,'[3]PT'!$D$2:$D$725)</f>
        <v>184000</v>
      </c>
      <c r="E165" s="332"/>
      <c r="F165" s="324"/>
      <c r="G165" s="335">
        <v>39500</v>
      </c>
      <c r="H165" s="334" t="s">
        <v>1226</v>
      </c>
      <c r="L165" s="251">
        <v>1</v>
      </c>
      <c r="O165" s="326" t="e">
        <f>D165/#REF!</f>
        <v>#REF!</v>
      </c>
    </row>
    <row r="166" spans="1:15" ht="15" customHeight="1">
      <c r="A166" s="133" t="s">
        <v>1060</v>
      </c>
      <c r="B166" s="254" t="s">
        <v>1059</v>
      </c>
      <c r="C166" s="127" t="s">
        <v>1924</v>
      </c>
      <c r="D166" s="277">
        <f>LOOKUP(A166,'[3]PT'!$A$2:$A$725,'[3]PT'!$D$2:$D$725)</f>
        <v>184000</v>
      </c>
      <c r="E166" s="329"/>
      <c r="F166" s="322"/>
      <c r="G166" s="321"/>
      <c r="H166" s="302"/>
      <c r="O166" s="326" t="e">
        <f>D166/#REF!</f>
        <v>#REF!</v>
      </c>
    </row>
    <row r="167" spans="1:15" ht="15" customHeight="1">
      <c r="A167" s="133" t="s">
        <v>1061</v>
      </c>
      <c r="B167" s="254" t="s">
        <v>1269</v>
      </c>
      <c r="C167" s="127" t="s">
        <v>178</v>
      </c>
      <c r="D167" s="277">
        <f>LOOKUP(A167,'[3]PT'!$A$2:$A$725,'[3]PT'!$D$2:$D$725)</f>
        <v>979440</v>
      </c>
      <c r="E167" s="338"/>
      <c r="F167" s="339"/>
      <c r="G167" s="333">
        <v>237770</v>
      </c>
      <c r="H167" s="334" t="s">
        <v>1241</v>
      </c>
      <c r="I167" s="340">
        <f>536000*D195</f>
        <v>4373760</v>
      </c>
      <c r="J167" s="251" t="s">
        <v>1270</v>
      </c>
      <c r="O167" s="326" t="e">
        <f>D167/#REF!</f>
        <v>#REF!</v>
      </c>
    </row>
    <row r="168" spans="1:15" ht="15" customHeight="1">
      <c r="A168" s="133" t="s">
        <v>1062</v>
      </c>
      <c r="B168" s="254" t="s">
        <v>1063</v>
      </c>
      <c r="C168" s="127" t="s">
        <v>1924</v>
      </c>
      <c r="D168" s="277">
        <f>LOOKUP(A168,'[3]PT'!$A$2:$A$725,'[3]PT'!$D$2:$D$725)</f>
        <v>979440</v>
      </c>
      <c r="E168" s="329"/>
      <c r="F168" s="322"/>
      <c r="G168" s="321"/>
      <c r="H168" s="302"/>
      <c r="O168" s="326" t="e">
        <f>D168/#REF!</f>
        <v>#REF!</v>
      </c>
    </row>
    <row r="169" spans="1:15" ht="15" customHeight="1">
      <c r="A169" s="133" t="s">
        <v>1064</v>
      </c>
      <c r="B169" s="254" t="s">
        <v>1477</v>
      </c>
      <c r="C169" s="127" t="s">
        <v>178</v>
      </c>
      <c r="D169" s="277">
        <f>LOOKUP(A169,'[3]PT'!$A$2:$A$725,'[3]PT'!$D$2:$D$725)</f>
        <v>213262.44</v>
      </c>
      <c r="E169" s="332"/>
      <c r="F169" s="324"/>
      <c r="G169" s="333">
        <f>11500*D195</f>
        <v>93840</v>
      </c>
      <c r="H169" s="334" t="s">
        <v>1154</v>
      </c>
      <c r="L169" s="251">
        <v>1</v>
      </c>
      <c r="O169" s="326" t="e">
        <f>D169/#REF!</f>
        <v>#REF!</v>
      </c>
    </row>
    <row r="170" spans="1:15" ht="15" customHeight="1">
      <c r="A170" s="133" t="s">
        <v>1066</v>
      </c>
      <c r="B170" s="254" t="s">
        <v>1065</v>
      </c>
      <c r="C170" s="127" t="s">
        <v>1924</v>
      </c>
      <c r="D170" s="277">
        <f>LOOKUP(A170,'[3]PT'!$A$2:$A$725,'[3]PT'!$D$2:$D$725)</f>
        <v>213262.44</v>
      </c>
      <c r="E170" s="329"/>
      <c r="F170" s="322"/>
      <c r="G170" s="321"/>
      <c r="H170" s="302"/>
      <c r="O170" s="326" t="e">
        <f>D170/#REF!</f>
        <v>#REF!</v>
      </c>
    </row>
    <row r="171" spans="1:15" ht="15" customHeight="1">
      <c r="A171" s="133" t="s">
        <v>205</v>
      </c>
      <c r="B171" s="254" t="s">
        <v>206</v>
      </c>
      <c r="C171" s="127" t="s">
        <v>348</v>
      </c>
      <c r="D171" s="277">
        <f>LOOKUP(A171,'[3]PT'!$A$2:$A$725,'[3]PT'!$D$2:$D$725)</f>
        <v>9.5</v>
      </c>
      <c r="E171" s="341">
        <v>1.686</v>
      </c>
      <c r="F171" s="324"/>
      <c r="G171" s="323"/>
      <c r="H171" s="251" t="s">
        <v>1150</v>
      </c>
      <c r="L171" s="251">
        <v>1</v>
      </c>
      <c r="O171" s="326" t="e">
        <f>D171/#REF!</f>
        <v>#REF!</v>
      </c>
    </row>
    <row r="172" spans="1:15" ht="15" customHeight="1">
      <c r="A172" s="133" t="s">
        <v>1067</v>
      </c>
      <c r="B172" s="254" t="s">
        <v>1431</v>
      </c>
      <c r="C172" s="127" t="s">
        <v>178</v>
      </c>
      <c r="D172" s="277">
        <f>LOOKUP(A172,'[3]PT'!$A$2:$A$725,'[3]PT'!$D$2:$D$725)</f>
        <v>182651.352</v>
      </c>
      <c r="E172" s="342"/>
      <c r="F172" s="324"/>
      <c r="G172" s="335">
        <v>24761.31</v>
      </c>
      <c r="H172" s="334" t="s">
        <v>1155</v>
      </c>
      <c r="L172" s="251">
        <v>1</v>
      </c>
      <c r="O172" s="326" t="e">
        <f>D172/#REF!</f>
        <v>#REF!</v>
      </c>
    </row>
    <row r="173" spans="1:15" ht="15" customHeight="1">
      <c r="A173" s="133" t="s">
        <v>1069</v>
      </c>
      <c r="B173" s="254" t="s">
        <v>1068</v>
      </c>
      <c r="C173" s="127" t="s">
        <v>1924</v>
      </c>
      <c r="D173" s="277">
        <f>LOOKUP(A173,'[3]PT'!$A$2:$A$725,'[3]PT'!$D$2:$D$725)</f>
        <v>200644.61</v>
      </c>
      <c r="E173" s="329"/>
      <c r="F173" s="322"/>
      <c r="G173" s="321"/>
      <c r="H173" s="302"/>
      <c r="O173" s="326" t="e">
        <f>D173/#REF!</f>
        <v>#REF!</v>
      </c>
    </row>
    <row r="174" spans="1:15" ht="15" customHeight="1">
      <c r="A174" s="133" t="s">
        <v>1070</v>
      </c>
      <c r="B174" s="254" t="s">
        <v>1215</v>
      </c>
      <c r="C174" s="127" t="s">
        <v>178</v>
      </c>
      <c r="D174" s="277">
        <f>LOOKUP(A174,'[3]PT'!$A$2:$A$725,'[3]PT'!$D$2:$D$725)</f>
        <v>200644.61</v>
      </c>
      <c r="E174" s="342"/>
      <c r="F174" s="324"/>
      <c r="G174" s="333">
        <f>4587*D195</f>
        <v>37429.92</v>
      </c>
      <c r="H174" s="334" t="s">
        <v>1152</v>
      </c>
      <c r="L174" s="251">
        <v>1</v>
      </c>
      <c r="O174" s="326" t="e">
        <f>D174/#REF!</f>
        <v>#REF!</v>
      </c>
    </row>
    <row r="175" spans="1:15" ht="15" customHeight="1">
      <c r="A175" s="133" t="s">
        <v>1071</v>
      </c>
      <c r="B175" s="254" t="s">
        <v>1215</v>
      </c>
      <c r="C175" s="127" t="s">
        <v>1924</v>
      </c>
      <c r="D175" s="277">
        <f>LOOKUP(A175,'[3]PT'!$A$2:$A$725,'[3]PT'!$D$2:$D$725)</f>
        <v>200644.61</v>
      </c>
      <c r="E175" s="329"/>
      <c r="F175" s="322"/>
      <c r="G175" s="321"/>
      <c r="H175" s="302"/>
      <c r="O175" s="326" t="e">
        <f>D175/#REF!</f>
        <v>#REF!</v>
      </c>
    </row>
    <row r="176" spans="1:15" ht="15" customHeight="1">
      <c r="A176" s="133" t="s">
        <v>1072</v>
      </c>
      <c r="B176" s="254" t="s">
        <v>1217</v>
      </c>
      <c r="C176" s="127" t="s">
        <v>178</v>
      </c>
      <c r="D176" s="277">
        <f>LOOKUP(A176,'[3]PT'!$A$2:$A$725,'[3]PT'!$D$2:$D$725)</f>
        <v>40274.3</v>
      </c>
      <c r="E176" s="342"/>
      <c r="F176" s="324"/>
      <c r="G176" s="333">
        <f>3938*D195</f>
        <v>32134.08</v>
      </c>
      <c r="H176" s="334" t="s">
        <v>1152</v>
      </c>
      <c r="K176" s="343">
        <f>240000+84000+26900</f>
        <v>350900</v>
      </c>
      <c r="L176" s="251">
        <v>1</v>
      </c>
      <c r="O176" s="326" t="e">
        <f>D176/#REF!</f>
        <v>#REF!</v>
      </c>
    </row>
    <row r="177" spans="1:15" ht="15" customHeight="1">
      <c r="A177" s="133" t="s">
        <v>1073</v>
      </c>
      <c r="B177" s="254" t="s">
        <v>1217</v>
      </c>
      <c r="C177" s="127" t="s">
        <v>1924</v>
      </c>
      <c r="D177" s="277">
        <f>LOOKUP(A177,'[3]PT'!$A$2:$A$725,'[3]PT'!$D$2:$D$725)</f>
        <v>40274.3</v>
      </c>
      <c r="E177" s="329"/>
      <c r="F177" s="322"/>
      <c r="G177" s="321"/>
      <c r="H177" s="302"/>
      <c r="K177" s="344" t="s">
        <v>1212</v>
      </c>
      <c r="O177" s="326" t="e">
        <f>D177/#REF!</f>
        <v>#REF!</v>
      </c>
    </row>
    <row r="178" spans="1:15" ht="15" customHeight="1">
      <c r="A178" s="133" t="s">
        <v>1074</v>
      </c>
      <c r="B178" s="254" t="s">
        <v>1211</v>
      </c>
      <c r="C178" s="127" t="s">
        <v>178</v>
      </c>
      <c r="D178" s="277">
        <f>LOOKUP(A178,'[3]PT'!$A$2:$A$725,'[3]PT'!$D$2:$D$725)</f>
        <v>4303080.2332</v>
      </c>
      <c r="E178" s="342"/>
      <c r="F178" s="324"/>
      <c r="G178" s="345">
        <v>1076027.8</v>
      </c>
      <c r="H178" s="346" t="s">
        <v>1223</v>
      </c>
      <c r="I178" s="346"/>
      <c r="J178" s="344">
        <f>35186*D195</f>
        <v>287117.76</v>
      </c>
      <c r="K178" s="347" t="s">
        <v>1242</v>
      </c>
      <c r="O178" s="326" t="e">
        <f>D178/#REF!</f>
        <v>#REF!</v>
      </c>
    </row>
    <row r="179" spans="1:15" ht="15" customHeight="1">
      <c r="A179" s="133" t="s">
        <v>1075</v>
      </c>
      <c r="B179" s="254" t="s">
        <v>1211</v>
      </c>
      <c r="C179" s="127" t="s">
        <v>1924</v>
      </c>
      <c r="D179" s="277">
        <f>LOOKUP(A179,'[3]PT'!$A$2:$A$725,'[3]PT'!$D$2:$D$725)</f>
        <v>7345800</v>
      </c>
      <c r="E179" s="329"/>
      <c r="F179" s="322"/>
      <c r="G179" s="321"/>
      <c r="O179" s="326" t="e">
        <f>D179/#REF!</f>
        <v>#REF!</v>
      </c>
    </row>
    <row r="180" spans="1:15" ht="15" customHeight="1">
      <c r="A180" s="133" t="s">
        <v>368</v>
      </c>
      <c r="B180" s="254" t="s">
        <v>369</v>
      </c>
      <c r="C180" s="127" t="s">
        <v>178</v>
      </c>
      <c r="D180" s="277">
        <f>LOOKUP(A180,'[3]PT'!$A$2:$A$725,'[3]PT'!$D$2:$D$725)</f>
        <v>216502.3636</v>
      </c>
      <c r="E180" s="332"/>
      <c r="F180" s="324"/>
      <c r="G180" s="348">
        <v>49973</v>
      </c>
      <c r="H180" s="302" t="s">
        <v>1224</v>
      </c>
      <c r="L180" s="251">
        <v>1</v>
      </c>
      <c r="O180" s="326" t="e">
        <f>D180/#REF!</f>
        <v>#REF!</v>
      </c>
    </row>
    <row r="181" spans="1:15" ht="15" customHeight="1">
      <c r="A181" s="133" t="s">
        <v>375</v>
      </c>
      <c r="B181" s="254" t="s">
        <v>369</v>
      </c>
      <c r="C181" s="127" t="s">
        <v>1924</v>
      </c>
      <c r="D181" s="277">
        <f>LOOKUP(A181,'[3]PT'!$A$2:$A$725,'[3]PT'!$D$2:$D$725)</f>
        <v>422.88</v>
      </c>
      <c r="E181" s="329">
        <f>grua</f>
        <v>420.64060331999997</v>
      </c>
      <c r="F181" s="322"/>
      <c r="G181" s="321"/>
      <c r="H181" s="302"/>
      <c r="O181" s="326" t="e">
        <f>D181/#REF!</f>
        <v>#REF!</v>
      </c>
    </row>
    <row r="182" spans="1:15" ht="15" customHeight="1">
      <c r="A182" s="133" t="s">
        <v>1076</v>
      </c>
      <c r="B182" s="254" t="s">
        <v>1231</v>
      </c>
      <c r="C182" s="127" t="s">
        <v>178</v>
      </c>
      <c r="D182" s="277">
        <f>LOOKUP(A182,'[3]PT'!$A$2:$A$725,'[3]PT'!$D$2:$D$725)</f>
        <v>2051939.1813</v>
      </c>
      <c r="E182" s="342"/>
      <c r="F182" s="324"/>
      <c r="G182" s="345">
        <v>481724</v>
      </c>
      <c r="H182" s="346" t="s">
        <v>1228</v>
      </c>
      <c r="I182" s="346"/>
      <c r="L182" s="251">
        <v>1</v>
      </c>
      <c r="O182" s="326" t="e">
        <f>D182/#REF!</f>
        <v>#REF!</v>
      </c>
    </row>
    <row r="183" spans="1:15" ht="15" customHeight="1">
      <c r="A183" s="133" t="s">
        <v>1077</v>
      </c>
      <c r="B183" s="254" t="s">
        <v>1216</v>
      </c>
      <c r="C183" s="127" t="s">
        <v>1924</v>
      </c>
      <c r="D183" s="277">
        <f>LOOKUP(A183,'[3]PT'!$A$2:$A$725,'[3]PT'!$D$2:$D$725)</f>
        <v>3444000</v>
      </c>
      <c r="E183" s="329"/>
      <c r="F183" s="322"/>
      <c r="G183" s="321"/>
      <c r="O183" s="326" t="e">
        <f>D183/#REF!</f>
        <v>#REF!</v>
      </c>
    </row>
    <row r="184" spans="1:15" ht="15" customHeight="1">
      <c r="A184" s="133" t="s">
        <v>1078</v>
      </c>
      <c r="B184" s="254" t="s">
        <v>1271</v>
      </c>
      <c r="C184" s="127" t="s">
        <v>178</v>
      </c>
      <c r="D184" s="277">
        <f>LOOKUP(A184,'[3]PT'!$A$2:$A$725,'[3]PT'!$D$2:$D$725)</f>
        <v>1486300.2</v>
      </c>
      <c r="E184" s="342"/>
      <c r="F184" s="324"/>
      <c r="G184" s="333">
        <v>356950</v>
      </c>
      <c r="H184" s="334" t="s">
        <v>1241</v>
      </c>
      <c r="L184" s="251">
        <v>1</v>
      </c>
      <c r="O184" s="326" t="e">
        <f>D184/#REF!</f>
        <v>#REF!</v>
      </c>
    </row>
    <row r="185" spans="1:15" ht="15" customHeight="1">
      <c r="A185" s="133" t="s">
        <v>1079</v>
      </c>
      <c r="B185" s="254" t="s">
        <v>1214</v>
      </c>
      <c r="C185" s="127" t="s">
        <v>1924</v>
      </c>
      <c r="D185" s="277">
        <f>LOOKUP(A185,'[3]PT'!$A$2:$A$725,'[3]PT'!$D$2:$D$725)</f>
        <v>461.66</v>
      </c>
      <c r="E185" s="329"/>
      <c r="F185" s="322"/>
      <c r="G185" s="321"/>
      <c r="H185" s="302"/>
      <c r="I185" s="349" t="e">
        <f>G178+#REF!</f>
        <v>#REF!</v>
      </c>
      <c r="O185" s="326" t="e">
        <f>D185/#REF!</f>
        <v>#REF!</v>
      </c>
    </row>
    <row r="186" spans="1:15" ht="15" customHeight="1">
      <c r="A186" s="133" t="s">
        <v>1188</v>
      </c>
      <c r="B186" s="254" t="s">
        <v>1200</v>
      </c>
      <c r="C186" s="127" t="s">
        <v>178</v>
      </c>
      <c r="D186" s="277">
        <f>LOOKUP(A186,'[3]PT'!$A$2:$A$725,'[3]PT'!$D$2:$D$725)</f>
        <v>601238.85</v>
      </c>
      <c r="E186" s="350">
        <v>80542.99</v>
      </c>
      <c r="F186" s="322"/>
      <c r="G186" s="351"/>
      <c r="H186" s="302"/>
      <c r="O186" s="326" t="e">
        <f>D186/#REF!</f>
        <v>#REF!</v>
      </c>
    </row>
    <row r="187" spans="1:15" ht="15" customHeight="1">
      <c r="A187" s="133" t="s">
        <v>1189</v>
      </c>
      <c r="B187" s="254" t="s">
        <v>1201</v>
      </c>
      <c r="C187" s="127" t="s">
        <v>178</v>
      </c>
      <c r="D187" s="277">
        <f>LOOKUP(A187,'[3]PT'!$A$2:$A$725,'[3]PT'!$D$2:$D$725)</f>
        <v>672800.14</v>
      </c>
      <c r="E187" s="341">
        <v>118054.29</v>
      </c>
      <c r="F187" s="322"/>
      <c r="G187" s="352"/>
      <c r="H187" s="302"/>
      <c r="O187" s="326" t="e">
        <f>D187/#REF!</f>
        <v>#REF!</v>
      </c>
    </row>
    <row r="188" spans="1:15" ht="15" customHeight="1">
      <c r="A188" s="133" t="s">
        <v>1190</v>
      </c>
      <c r="B188" s="254" t="s">
        <v>1552</v>
      </c>
      <c r="C188" s="127" t="s">
        <v>178</v>
      </c>
      <c r="D188" s="277">
        <f>LOOKUP(A188,'[3]PT'!$A$2:$A$725,'[3]PT'!$D$2:$D$725)</f>
        <v>4504.4067</v>
      </c>
      <c r="E188" s="341">
        <v>554.55</v>
      </c>
      <c r="F188" s="322"/>
      <c r="G188" s="352"/>
      <c r="H188" s="302"/>
      <c r="O188" s="326" t="e">
        <f>D188/#REF!</f>
        <v>#REF!</v>
      </c>
    </row>
    <row r="189" spans="1:15" ht="15" customHeight="1">
      <c r="A189" s="133" t="s">
        <v>1191</v>
      </c>
      <c r="B189" s="254" t="s">
        <v>1553</v>
      </c>
      <c r="C189" s="127" t="s">
        <v>178</v>
      </c>
      <c r="D189" s="277">
        <f>LOOKUP(A189,'[3]PT'!$A$2:$A$725,'[3]PT'!$D$2:$D$725)</f>
        <v>5617.3567</v>
      </c>
      <c r="E189" s="341">
        <v>692.56</v>
      </c>
      <c r="F189" s="322"/>
      <c r="G189" s="352"/>
      <c r="H189" s="302"/>
      <c r="O189" s="326" t="e">
        <f>D189/#REF!</f>
        <v>#REF!</v>
      </c>
    </row>
    <row r="190" spans="1:15" ht="15" customHeight="1">
      <c r="A190" s="133" t="s">
        <v>1192</v>
      </c>
      <c r="B190" s="254" t="s">
        <v>1554</v>
      </c>
      <c r="C190" s="127" t="s">
        <v>178</v>
      </c>
      <c r="D190" s="277">
        <f>LOOKUP(A190,'[3]PT'!$A$2:$A$725,'[3]PT'!$D$2:$D$725)</f>
        <v>6279.34</v>
      </c>
      <c r="E190" s="341">
        <v>762.81</v>
      </c>
      <c r="F190" s="322"/>
      <c r="G190" s="352"/>
      <c r="H190" s="302"/>
      <c r="O190" s="326" t="e">
        <f>D190/#REF!</f>
        <v>#REF!</v>
      </c>
    </row>
    <row r="191" spans="1:15" ht="15" customHeight="1">
      <c r="A191" s="133" t="s">
        <v>1202</v>
      </c>
      <c r="B191" s="254" t="s">
        <v>1204</v>
      </c>
      <c r="C191" s="127" t="s">
        <v>178</v>
      </c>
      <c r="D191" s="277">
        <f>LOOKUP(A191,'[3]PT'!$A$2:$A$725,'[3]PT'!$D$2:$D$725)</f>
        <v>87649.77</v>
      </c>
      <c r="E191" s="353">
        <v>9504.13</v>
      </c>
      <c r="F191" s="322"/>
      <c r="G191" s="351"/>
      <c r="H191" s="302"/>
      <c r="O191" s="326" t="e">
        <f>D191/#REF!</f>
        <v>#REF!</v>
      </c>
    </row>
    <row r="192" spans="1:15" ht="15" customHeight="1">
      <c r="A192" s="133" t="s">
        <v>1203</v>
      </c>
      <c r="B192" s="254" t="s">
        <v>1205</v>
      </c>
      <c r="C192" s="127" t="s">
        <v>178</v>
      </c>
      <c r="D192" s="277">
        <f>LOOKUP(A192,'[3]PT'!$A$2:$A$725,'[3]PT'!$D$2:$D$725)</f>
        <v>87649.77</v>
      </c>
      <c r="E192" s="353">
        <v>9504.13</v>
      </c>
      <c r="F192" s="322"/>
      <c r="G192" s="352"/>
      <c r="H192" s="302"/>
      <c r="O192" s="326" t="e">
        <f>D192/#REF!</f>
        <v>#REF!</v>
      </c>
    </row>
    <row r="193" spans="1:15" ht="15" customHeight="1">
      <c r="A193" s="133" t="s">
        <v>364</v>
      </c>
      <c r="B193" s="254" t="s">
        <v>365</v>
      </c>
      <c r="C193" s="127" t="s">
        <v>178</v>
      </c>
      <c r="D193" s="277">
        <f>LOOKUP(A193,'[3]PT'!$A$2:$A$725,'[3]PT'!$D$2:$D$725)</f>
        <v>742.25</v>
      </c>
      <c r="E193" s="342"/>
      <c r="F193" s="324"/>
      <c r="G193" s="348">
        <f>77/1.21</f>
        <v>63.63636363636364</v>
      </c>
      <c r="H193" s="302" t="s">
        <v>1234</v>
      </c>
      <c r="L193" s="251">
        <v>1</v>
      </c>
      <c r="O193" s="326" t="e">
        <f>D193/#REF!</f>
        <v>#REF!</v>
      </c>
    </row>
    <row r="194" spans="1:15" ht="15" customHeight="1">
      <c r="A194" s="133" t="s">
        <v>145</v>
      </c>
      <c r="B194" s="254" t="s">
        <v>1143</v>
      </c>
      <c r="C194" s="127" t="s">
        <v>1914</v>
      </c>
      <c r="D194" s="277">
        <f>LOOKUP(A194,'[3]PT'!$A$2:$A$725,'[3]PT'!$D$2:$D$725)</f>
        <v>18.85</v>
      </c>
      <c r="E194" s="354">
        <v>0.1885</v>
      </c>
      <c r="F194" s="324"/>
      <c r="G194" s="323"/>
      <c r="H194" s="302"/>
      <c r="L194" s="251">
        <v>1</v>
      </c>
      <c r="O194" s="326" t="e">
        <f>D194/#REF!</f>
        <v>#REF!</v>
      </c>
    </row>
    <row r="195" spans="1:15" ht="15" customHeight="1">
      <c r="A195" s="133" t="s">
        <v>144</v>
      </c>
      <c r="B195" s="254" t="s">
        <v>238</v>
      </c>
      <c r="C195" s="127" t="s">
        <v>5</v>
      </c>
      <c r="D195" s="277">
        <f>LOOKUP(A195,'[3]PT'!$A$2:$A$725,'[3]PT'!$D$2:$D$725)</f>
        <v>8.16</v>
      </c>
      <c r="E195" s="355">
        <v>2.95</v>
      </c>
      <c r="F195" s="324"/>
      <c r="G195" s="323"/>
      <c r="H195" s="302" t="s">
        <v>1150</v>
      </c>
      <c r="I195" s="251">
        <f>(2.83+2.81+2.82+2.82+2.82+2.78+2.8+2.79+2.79+2.82+2.87+2.97+2.95+2.89+2.87+2.91+2.92+2.91+2.89+2.9+2.9+2.87)/22</f>
        <v>2.8604545454545454</v>
      </c>
      <c r="L195" s="251">
        <v>1</v>
      </c>
      <c r="O195" s="326" t="e">
        <f>D195/#REF!</f>
        <v>#REF!</v>
      </c>
    </row>
    <row r="196" spans="1:15" ht="15" customHeight="1">
      <c r="A196" s="133" t="s">
        <v>332</v>
      </c>
      <c r="B196" s="254" t="s">
        <v>1080</v>
      </c>
      <c r="C196" s="127" t="s">
        <v>1914</v>
      </c>
      <c r="D196" s="277">
        <f>LOOKUP(A196,'[3]PT'!$A$2:$A$725,'[3]PT'!$D$2:$D$725)</f>
        <v>12.2</v>
      </c>
      <c r="E196" s="354">
        <v>0.122</v>
      </c>
      <c r="F196" s="324"/>
      <c r="G196" s="323"/>
      <c r="H196" s="302"/>
      <c r="L196" s="251">
        <v>1</v>
      </c>
      <c r="O196" s="326" t="e">
        <f>D196/#REF!</f>
        <v>#REF!</v>
      </c>
    </row>
    <row r="197" spans="1:15" ht="15" customHeight="1">
      <c r="A197" s="133" t="s">
        <v>334</v>
      </c>
      <c r="B197" s="254" t="s">
        <v>1081</v>
      </c>
      <c r="C197" s="127" t="s">
        <v>178</v>
      </c>
      <c r="D197" s="277">
        <f>LOOKUP(A197,'[3]PT'!$A$2:$A$725,'[3]PT'!$D$2:$D$725)</f>
        <v>120</v>
      </c>
      <c r="E197" s="328">
        <v>120</v>
      </c>
      <c r="F197" s="324"/>
      <c r="G197" s="323"/>
      <c r="H197" s="302" t="s">
        <v>1283</v>
      </c>
      <c r="L197" s="251">
        <v>1</v>
      </c>
      <c r="O197" s="326" t="e">
        <f>D197/#REF!</f>
        <v>#REF!</v>
      </c>
    </row>
    <row r="198" spans="1:15" ht="15" customHeight="1">
      <c r="A198" s="133" t="s">
        <v>335</v>
      </c>
      <c r="B198" s="254" t="s">
        <v>336</v>
      </c>
      <c r="C198" s="127" t="s">
        <v>1937</v>
      </c>
      <c r="D198" s="277">
        <f>LOOKUP(A198,'[3]PT'!$A$2:$A$725,'[3]PT'!$D$2:$D$725)</f>
        <v>17.7</v>
      </c>
      <c r="E198" s="328">
        <v>9.5</v>
      </c>
      <c r="F198" s="324"/>
      <c r="G198" s="323"/>
      <c r="H198" s="302" t="s">
        <v>1282</v>
      </c>
      <c r="L198" s="251">
        <v>1</v>
      </c>
      <c r="O198" s="326" t="e">
        <f>D198/#REF!</f>
        <v>#REF!</v>
      </c>
    </row>
    <row r="199" spans="1:15" ht="15" customHeight="1">
      <c r="A199" s="133" t="s">
        <v>1193</v>
      </c>
      <c r="B199" s="254" t="s">
        <v>1199</v>
      </c>
      <c r="C199" s="127" t="s">
        <v>178</v>
      </c>
      <c r="D199" s="277">
        <f>LOOKUP(A199,'[3]PT'!$A$2:$A$725,'[3]PT'!$D$2:$D$725)</f>
        <v>10277.56</v>
      </c>
      <c r="E199" s="341">
        <v>1033.2</v>
      </c>
      <c r="F199" s="324"/>
      <c r="G199" s="352"/>
      <c r="H199" s="302"/>
      <c r="O199" s="326" t="e">
        <f>D199/#REF!</f>
        <v>#REF!</v>
      </c>
    </row>
    <row r="200" spans="1:15" ht="15" customHeight="1">
      <c r="A200" s="133" t="s">
        <v>1194</v>
      </c>
      <c r="B200" s="254" t="s">
        <v>1198</v>
      </c>
      <c r="C200" s="127" t="s">
        <v>178</v>
      </c>
      <c r="D200" s="277">
        <f>LOOKUP(A200,'[3]PT'!$A$2:$A$725,'[3]PT'!$D$2:$D$725)</f>
        <v>11580.08</v>
      </c>
      <c r="E200" s="341">
        <v>1033.2</v>
      </c>
      <c r="F200" s="324"/>
      <c r="G200" s="352"/>
      <c r="H200" s="302"/>
      <c r="O200" s="326" t="e">
        <f>D200/#REF!</f>
        <v>#REF!</v>
      </c>
    </row>
    <row r="201" spans="1:15" ht="15" customHeight="1">
      <c r="A201" s="133" t="s">
        <v>189</v>
      </c>
      <c r="B201" s="254" t="s">
        <v>239</v>
      </c>
      <c r="C201" s="127" t="s">
        <v>178</v>
      </c>
      <c r="D201" s="277">
        <f>LOOKUP(A201,'[3]PT'!$A$2:$A$725,'[3]PT'!$D$2:$D$725)</f>
        <v>57.2979</v>
      </c>
      <c r="E201" s="356">
        <v>15.17</v>
      </c>
      <c r="F201" s="357"/>
      <c r="G201" s="323"/>
      <c r="H201" s="358" t="s">
        <v>1251</v>
      </c>
      <c r="L201" s="251">
        <v>1</v>
      </c>
      <c r="O201" s="326" t="e">
        <f>D201/#REF!</f>
        <v>#REF!</v>
      </c>
    </row>
    <row r="202" spans="1:15" ht="15" customHeight="1">
      <c r="A202" s="133" t="s">
        <v>190</v>
      </c>
      <c r="B202" s="254" t="s">
        <v>191</v>
      </c>
      <c r="C202" s="127" t="s">
        <v>349</v>
      </c>
      <c r="D202" s="277">
        <f>LOOKUP(A202,'[3]PT'!$A$2:$A$725,'[3]PT'!$D$2:$D$725)</f>
        <v>16.51</v>
      </c>
      <c r="E202" s="356">
        <v>2.2</v>
      </c>
      <c r="F202" s="357"/>
      <c r="G202" s="323"/>
      <c r="H202" s="358"/>
      <c r="L202" s="251">
        <v>1</v>
      </c>
      <c r="O202" s="326" t="e">
        <f>D202/#REF!</f>
        <v>#REF!</v>
      </c>
    </row>
    <row r="203" spans="1:15" ht="15" customHeight="1">
      <c r="A203" s="133" t="s">
        <v>1475</v>
      </c>
      <c r="B203" s="255" t="s">
        <v>1474</v>
      </c>
      <c r="C203" s="129" t="s">
        <v>178</v>
      </c>
      <c r="D203" s="277">
        <f>LOOKUP(A203,'[3]PT'!$A$2:$A$725,'[3]PT'!$D$2:$D$725)</f>
        <v>167.03</v>
      </c>
      <c r="E203" s="359">
        <v>47.13</v>
      </c>
      <c r="F203" s="324"/>
      <c r="G203" s="323"/>
      <c r="H203" s="302"/>
      <c r="O203" s="326" t="e">
        <f>D203/#REF!</f>
        <v>#REF!</v>
      </c>
    </row>
    <row r="204" spans="1:15" ht="15" customHeight="1">
      <c r="A204" s="133" t="s">
        <v>1447</v>
      </c>
      <c r="B204" s="255" t="s">
        <v>1448</v>
      </c>
      <c r="C204" s="129" t="s">
        <v>178</v>
      </c>
      <c r="D204" s="277">
        <f>LOOKUP(A204,'[3]PT'!$A$2:$A$725,'[3]PT'!$D$2:$D$725)</f>
        <v>77.51</v>
      </c>
      <c r="E204" s="356">
        <v>9.33</v>
      </c>
      <c r="F204" s="324"/>
      <c r="G204" s="323"/>
      <c r="H204" s="302"/>
      <c r="O204" s="326" t="e">
        <f>D204/#REF!</f>
        <v>#REF!</v>
      </c>
    </row>
    <row r="205" spans="1:15" ht="15" customHeight="1">
      <c r="A205" s="133" t="s">
        <v>1675</v>
      </c>
      <c r="B205" s="254" t="s">
        <v>2000</v>
      </c>
      <c r="C205" s="127" t="s">
        <v>1810</v>
      </c>
      <c r="D205" s="277">
        <f>LOOKUP(A205,'[3]PT'!$A$2:$A$725,'[3]PT'!$D$2:$D$725)</f>
        <v>41.25</v>
      </c>
      <c r="E205" s="328">
        <v>6.2206</v>
      </c>
      <c r="F205" s="324"/>
      <c r="G205" s="323"/>
      <c r="H205" s="302" t="s">
        <v>1233</v>
      </c>
      <c r="L205" s="251">
        <v>1</v>
      </c>
      <c r="O205" s="326" t="e">
        <f>D205/#REF!</f>
        <v>#REF!</v>
      </c>
    </row>
    <row r="206" spans="1:15" ht="15" customHeight="1">
      <c r="A206" s="133" t="s">
        <v>1890</v>
      </c>
      <c r="B206" s="254" t="s">
        <v>240</v>
      </c>
      <c r="C206" s="127" t="s">
        <v>178</v>
      </c>
      <c r="D206" s="277">
        <f>LOOKUP(A206,'[3]PT'!$A$2:$A$725,'[3]PT'!$D$2:$D$725)</f>
        <v>71.5818</v>
      </c>
      <c r="E206" s="328">
        <v>11.07</v>
      </c>
      <c r="F206" s="324"/>
      <c r="G206" s="323"/>
      <c r="H206" s="302" t="s">
        <v>1246</v>
      </c>
      <c r="L206" s="251">
        <v>1</v>
      </c>
      <c r="O206" s="326" t="e">
        <f>D206/#REF!</f>
        <v>#REF!</v>
      </c>
    </row>
    <row r="207" spans="1:15" ht="15" customHeight="1">
      <c r="A207" s="133" t="s">
        <v>146</v>
      </c>
      <c r="B207" s="254" t="s">
        <v>124</v>
      </c>
      <c r="C207" s="127" t="s">
        <v>178</v>
      </c>
      <c r="D207" s="277">
        <f>LOOKUP(A207,'[3]PT'!$A$2:$A$725,'[3]PT'!$D$2:$D$725)</f>
        <v>289.26</v>
      </c>
      <c r="E207" s="328">
        <v>60.69</v>
      </c>
      <c r="F207" s="357"/>
      <c r="G207" s="323"/>
      <c r="H207" s="302"/>
      <c r="L207" s="251">
        <v>2</v>
      </c>
      <c r="O207" s="326" t="e">
        <f>D207/#REF!</f>
        <v>#REF!</v>
      </c>
    </row>
    <row r="208" spans="1:15" ht="15" customHeight="1">
      <c r="A208" s="133" t="s">
        <v>1678</v>
      </c>
      <c r="B208" s="254" t="s">
        <v>60</v>
      </c>
      <c r="C208" s="127" t="s">
        <v>178</v>
      </c>
      <c r="D208" s="277">
        <f>LOOKUP(A208,'[3]PT'!$A$2:$A$725,'[3]PT'!$D$2:$D$725)</f>
        <v>1005.37</v>
      </c>
      <c r="E208" s="328">
        <v>290.91</v>
      </c>
      <c r="F208" s="324"/>
      <c r="G208" s="323"/>
      <c r="H208" s="302"/>
      <c r="L208" s="251">
        <v>1</v>
      </c>
      <c r="O208" s="326" t="e">
        <f>D208/#REF!</f>
        <v>#REF!</v>
      </c>
    </row>
    <row r="209" spans="1:15" ht="15" customHeight="1">
      <c r="A209" s="133" t="s">
        <v>1677</v>
      </c>
      <c r="B209" s="254" t="s">
        <v>61</v>
      </c>
      <c r="C209" s="127" t="s">
        <v>178</v>
      </c>
      <c r="D209" s="277">
        <f>LOOKUP(A209,'[3]PT'!$A$2:$A$725,'[3]PT'!$D$2:$D$725)</f>
        <v>1768.595</v>
      </c>
      <c r="E209" s="328">
        <v>317.6</v>
      </c>
      <c r="F209" s="324"/>
      <c r="G209" s="323"/>
      <c r="H209" s="302"/>
      <c r="L209" s="251">
        <v>1</v>
      </c>
      <c r="O209" s="326" t="e">
        <f>D209/#REF!</f>
        <v>#REF!</v>
      </c>
    </row>
    <row r="210" spans="1:15" ht="15" customHeight="1">
      <c r="A210" s="133" t="s">
        <v>1676</v>
      </c>
      <c r="B210" s="254" t="s">
        <v>62</v>
      </c>
      <c r="C210" s="127" t="s">
        <v>178</v>
      </c>
      <c r="D210" s="277">
        <f>LOOKUP(A210,'[3]PT'!$A$2:$A$725,'[3]PT'!$D$2:$D$725)</f>
        <v>1879.34</v>
      </c>
      <c r="E210" s="328">
        <v>267.44</v>
      </c>
      <c r="F210" s="324"/>
      <c r="G210" s="323"/>
      <c r="H210" s="302"/>
      <c r="L210" s="251">
        <v>1</v>
      </c>
      <c r="O210" s="326" t="e">
        <f>D210/#REF!</f>
        <v>#REF!</v>
      </c>
    </row>
    <row r="211" spans="1:15" ht="15" customHeight="1">
      <c r="A211" s="133" t="s">
        <v>1674</v>
      </c>
      <c r="B211" s="254" t="s">
        <v>182</v>
      </c>
      <c r="C211" s="127" t="s">
        <v>178</v>
      </c>
      <c r="D211" s="277">
        <f>LOOKUP(A211,'[3]PT'!$A$2:$A$725,'[3]PT'!$D$2:$D$725)</f>
        <v>250.82</v>
      </c>
      <c r="E211" s="328">
        <f>44.85/1.21</f>
        <v>37.066115702479344</v>
      </c>
      <c r="F211" s="324"/>
      <c r="G211" s="323"/>
      <c r="H211" s="302"/>
      <c r="L211" s="251">
        <v>1</v>
      </c>
      <c r="O211" s="326" t="e">
        <f>D211/#REF!</f>
        <v>#REF!</v>
      </c>
    </row>
    <row r="212" spans="1:15" ht="15" customHeight="1">
      <c r="A212" s="133" t="s">
        <v>1673</v>
      </c>
      <c r="B212" s="254" t="s">
        <v>241</v>
      </c>
      <c r="C212" s="127" t="s">
        <v>178</v>
      </c>
      <c r="D212" s="277">
        <f>LOOKUP(A212,'[3]PT'!$A$2:$A$725,'[3]PT'!$D$2:$D$725)</f>
        <v>146.5947</v>
      </c>
      <c r="E212" s="328">
        <v>9.58</v>
      </c>
      <c r="F212" s="324"/>
      <c r="G212" s="323"/>
      <c r="H212" s="302"/>
      <c r="L212" s="251">
        <v>1</v>
      </c>
      <c r="O212" s="326" t="e">
        <f>D212/#REF!</f>
        <v>#REF!</v>
      </c>
    </row>
    <row r="213" spans="1:15" ht="15" customHeight="1">
      <c r="A213" s="133" t="s">
        <v>1443</v>
      </c>
      <c r="B213" s="254" t="s">
        <v>1444</v>
      </c>
      <c r="C213" s="127" t="s">
        <v>178</v>
      </c>
      <c r="D213" s="277">
        <f>LOOKUP(A213,'[3]PT'!$A$2:$A$725,'[3]PT'!$D$2:$D$725)</f>
        <v>151.605</v>
      </c>
      <c r="E213" s="359">
        <v>11.99</v>
      </c>
      <c r="F213" s="324"/>
      <c r="G213" s="323"/>
      <c r="H213" s="302"/>
      <c r="O213" s="326" t="e">
        <f>D213/#REF!</f>
        <v>#REF!</v>
      </c>
    </row>
    <row r="214" spans="1:18" s="218" customFormat="1" ht="15" customHeight="1">
      <c r="A214" s="213" t="s">
        <v>1769</v>
      </c>
      <c r="B214" s="258" t="s">
        <v>2001</v>
      </c>
      <c r="C214" s="208" t="s">
        <v>1810</v>
      </c>
      <c r="D214" s="277">
        <v>34.81</v>
      </c>
      <c r="E214" s="360">
        <v>6.92</v>
      </c>
      <c r="F214" s="361"/>
      <c r="G214" s="362"/>
      <c r="H214" s="363"/>
      <c r="I214" s="251"/>
      <c r="J214" s="251"/>
      <c r="K214" s="251"/>
      <c r="L214" s="251">
        <v>1</v>
      </c>
      <c r="M214" s="251"/>
      <c r="N214" s="251"/>
      <c r="O214" s="326" t="e">
        <f>D214/#REF!</f>
        <v>#REF!</v>
      </c>
      <c r="P214" s="251"/>
      <c r="Q214" s="408">
        <v>34.81</v>
      </c>
      <c r="R214" s="15"/>
    </row>
    <row r="215" spans="1:15" ht="15" customHeight="1">
      <c r="A215" s="133" t="s">
        <v>1441</v>
      </c>
      <c r="B215" s="255" t="s">
        <v>1442</v>
      </c>
      <c r="C215" s="129" t="s">
        <v>1810</v>
      </c>
      <c r="D215" s="277">
        <f>LOOKUP(A215,'[3]PT'!$A$2:$A$725,'[3]PT'!$D$2:$D$725)</f>
        <v>27.395</v>
      </c>
      <c r="E215" s="359">
        <v>31.68</v>
      </c>
      <c r="F215" s="324"/>
      <c r="G215" s="323"/>
      <c r="H215" s="302"/>
      <c r="O215" s="326" t="e">
        <f>D215/#REF!</f>
        <v>#REF!</v>
      </c>
    </row>
    <row r="216" spans="1:15" ht="15" customHeight="1">
      <c r="A216" s="133" t="s">
        <v>207</v>
      </c>
      <c r="B216" s="254" t="s">
        <v>208</v>
      </c>
      <c r="C216" s="127" t="s">
        <v>1810</v>
      </c>
      <c r="D216" s="277">
        <f>LOOKUP(A216,'[3]PT'!$A$2:$A$725,'[3]PT'!$D$2:$D$725)</f>
        <v>31.785</v>
      </c>
      <c r="E216" s="328">
        <v>5.15</v>
      </c>
      <c r="F216" s="324"/>
      <c r="G216" s="323"/>
      <c r="H216" s="302"/>
      <c r="L216" s="251">
        <v>1</v>
      </c>
      <c r="O216" s="326" t="e">
        <f>D216/#REF!</f>
        <v>#REF!</v>
      </c>
    </row>
    <row r="217" spans="1:15" ht="15" customHeight="1">
      <c r="A217" s="133" t="s">
        <v>209</v>
      </c>
      <c r="B217" s="254" t="s">
        <v>210</v>
      </c>
      <c r="C217" s="127" t="s">
        <v>1810</v>
      </c>
      <c r="D217" s="277">
        <f>LOOKUP(A217,'[3]PT'!$A$2:$A$725,'[3]PT'!$D$2:$D$725)</f>
        <v>47.14</v>
      </c>
      <c r="E217" s="328">
        <v>7.28</v>
      </c>
      <c r="F217" s="324"/>
      <c r="G217" s="323"/>
      <c r="H217" s="302"/>
      <c r="L217" s="251">
        <v>1</v>
      </c>
      <c r="O217" s="326" t="e">
        <f>D217/#REF!</f>
        <v>#REF!</v>
      </c>
    </row>
    <row r="218" spans="1:15" ht="15" customHeight="1">
      <c r="A218" s="133" t="s">
        <v>1445</v>
      </c>
      <c r="B218" s="254" t="s">
        <v>1446</v>
      </c>
      <c r="C218" s="127" t="s">
        <v>178</v>
      </c>
      <c r="D218" s="277">
        <f>LOOKUP(A218,'[3]PT'!$A$2:$A$725,'[3]PT'!$D$2:$D$725)</f>
        <v>8.59</v>
      </c>
      <c r="E218" s="328">
        <v>1.35</v>
      </c>
      <c r="F218" s="324"/>
      <c r="G218" s="323"/>
      <c r="H218" s="302"/>
      <c r="O218" s="326" t="e">
        <f>D218/#REF!</f>
        <v>#REF!</v>
      </c>
    </row>
    <row r="219" spans="1:15" ht="15" customHeight="1">
      <c r="A219" s="133" t="s">
        <v>1770</v>
      </c>
      <c r="B219" s="254" t="s">
        <v>1998</v>
      </c>
      <c r="C219" s="127" t="s">
        <v>178</v>
      </c>
      <c r="D219" s="277">
        <f>LOOKUP(A219,'[3]PT'!$A$2:$A$725,'[3]PT'!$D$2:$D$725)</f>
        <v>10.7867</v>
      </c>
      <c r="E219" s="328">
        <f>1.5/1.21</f>
        <v>1.2396694214876034</v>
      </c>
      <c r="F219" s="324"/>
      <c r="G219" s="323"/>
      <c r="H219" s="302"/>
      <c r="L219" s="251">
        <v>1</v>
      </c>
      <c r="O219" s="326" t="e">
        <f>D219/#REF!</f>
        <v>#REF!</v>
      </c>
    </row>
    <row r="220" spans="1:15" ht="15" customHeight="1">
      <c r="A220" s="136" t="s">
        <v>1322</v>
      </c>
      <c r="B220" s="255" t="s">
        <v>1334</v>
      </c>
      <c r="C220" s="129" t="s">
        <v>178</v>
      </c>
      <c r="D220" s="277">
        <f>LOOKUP(A220,'[3]PT'!$A$2:$A$725,'[3]PT'!$D$2:$D$725)</f>
        <v>21.685</v>
      </c>
      <c r="E220" s="364">
        <f>E212</f>
        <v>9.58</v>
      </c>
      <c r="F220" s="324"/>
      <c r="G220" s="323"/>
      <c r="H220" s="302"/>
      <c r="O220" s="326" t="e">
        <f>D220/#REF!</f>
        <v>#REF!</v>
      </c>
    </row>
    <row r="221" spans="1:15" ht="15" customHeight="1">
      <c r="A221" s="136" t="s">
        <v>1323</v>
      </c>
      <c r="B221" s="255" t="s">
        <v>1335</v>
      </c>
      <c r="C221" s="129" t="s">
        <v>178</v>
      </c>
      <c r="D221" s="277">
        <f>LOOKUP(A221,'[3]PT'!$A$2:$A$725,'[3]PT'!$D$2:$D$725)</f>
        <v>204.9599</v>
      </c>
      <c r="E221" s="365">
        <f>E213</f>
        <v>11.99</v>
      </c>
      <c r="F221" s="324"/>
      <c r="G221" s="323"/>
      <c r="H221" s="302"/>
      <c r="O221" s="326" t="e">
        <f>D221/#REF!</f>
        <v>#REF!</v>
      </c>
    </row>
    <row r="222" spans="1:15" ht="15" customHeight="1">
      <c r="A222" s="136" t="s">
        <v>1324</v>
      </c>
      <c r="B222" s="255" t="s">
        <v>1336</v>
      </c>
      <c r="C222" s="129" t="s">
        <v>1810</v>
      </c>
      <c r="D222" s="277">
        <f>LOOKUP(A222,'[3]PT'!$A$2:$A$725,'[3]PT'!$D$2:$D$725)</f>
        <v>46.7322</v>
      </c>
      <c r="E222" s="359">
        <f>E215</f>
        <v>31.68</v>
      </c>
      <c r="F222" s="324"/>
      <c r="G222" s="323"/>
      <c r="H222" s="302"/>
      <c r="O222" s="326" t="e">
        <f>D222/#REF!</f>
        <v>#REF!</v>
      </c>
    </row>
    <row r="223" spans="1:15" ht="15" customHeight="1">
      <c r="A223" s="133" t="s">
        <v>1325</v>
      </c>
      <c r="B223" s="255" t="s">
        <v>1337</v>
      </c>
      <c r="C223" s="129" t="s">
        <v>178</v>
      </c>
      <c r="D223" s="277">
        <f>LOOKUP(A223,'[3]PT'!$A$2:$A$725,'[3]PT'!$D$2:$D$725)</f>
        <v>46.7322</v>
      </c>
      <c r="E223" s="364">
        <f>E218</f>
        <v>1.35</v>
      </c>
      <c r="F223" s="324"/>
      <c r="G223" s="323"/>
      <c r="H223" s="302"/>
      <c r="O223" s="326" t="e">
        <f>D223/#REF!</f>
        <v>#REF!</v>
      </c>
    </row>
    <row r="224" spans="1:15" ht="15" customHeight="1">
      <c r="A224" s="133" t="s">
        <v>1326</v>
      </c>
      <c r="B224" s="255" t="s">
        <v>1338</v>
      </c>
      <c r="C224" s="129" t="s">
        <v>178</v>
      </c>
      <c r="D224" s="277">
        <f>LOOKUP(A224,'[3]PT'!$A$2:$A$725,'[3]PT'!$D$2:$D$725)</f>
        <v>10.09</v>
      </c>
      <c r="E224" s="364">
        <f>E219</f>
        <v>1.2396694214876034</v>
      </c>
      <c r="F224" s="324"/>
      <c r="G224" s="323"/>
      <c r="H224" s="302"/>
      <c r="O224" s="326" t="e">
        <f>D224/#REF!</f>
        <v>#REF!</v>
      </c>
    </row>
    <row r="225" spans="1:15" ht="15" customHeight="1">
      <c r="A225" s="133" t="s">
        <v>1327</v>
      </c>
      <c r="B225" s="255" t="s">
        <v>1339</v>
      </c>
      <c r="C225" s="129" t="s">
        <v>178</v>
      </c>
      <c r="D225" s="277">
        <f>LOOKUP(A225,'[3]PT'!$A$2:$A$725,'[3]PT'!$D$2:$D$725)</f>
        <v>4.52</v>
      </c>
      <c r="E225" s="359">
        <v>1.13</v>
      </c>
      <c r="F225" s="324"/>
      <c r="G225" s="323"/>
      <c r="H225" s="302"/>
      <c r="O225" s="326" t="e">
        <f>D225/#REF!</f>
        <v>#REF!</v>
      </c>
    </row>
    <row r="226" spans="1:15" ht="15" customHeight="1">
      <c r="A226" s="133" t="s">
        <v>1328</v>
      </c>
      <c r="B226" s="255" t="s">
        <v>1340</v>
      </c>
      <c r="C226" s="129" t="s">
        <v>178</v>
      </c>
      <c r="D226" s="277">
        <f>LOOKUP(A226,'[3]PT'!$A$2:$A$725,'[3]PT'!$D$2:$D$725)</f>
        <v>16.6022</v>
      </c>
      <c r="E226" s="359">
        <v>1.85</v>
      </c>
      <c r="F226" s="324"/>
      <c r="G226" s="323"/>
      <c r="H226" s="302"/>
      <c r="O226" s="326" t="e">
        <f>D226/#REF!</f>
        <v>#REF!</v>
      </c>
    </row>
    <row r="227" spans="1:15" ht="15" customHeight="1">
      <c r="A227" s="136" t="s">
        <v>1329</v>
      </c>
      <c r="B227" s="255" t="s">
        <v>1341</v>
      </c>
      <c r="C227" s="129" t="s">
        <v>178</v>
      </c>
      <c r="D227" s="277">
        <f>LOOKUP(A227,'[3]PT'!$A$2:$A$725,'[3]PT'!$D$2:$D$725)</f>
        <v>12.075</v>
      </c>
      <c r="E227" s="364">
        <f>E232</f>
        <v>0.61</v>
      </c>
      <c r="F227" s="324"/>
      <c r="G227" s="323"/>
      <c r="H227" s="302"/>
      <c r="O227" s="326" t="e">
        <f>D227/#REF!</f>
        <v>#REF!</v>
      </c>
    </row>
    <row r="228" spans="1:15" ht="15" customHeight="1">
      <c r="A228" s="136" t="s">
        <v>1330</v>
      </c>
      <c r="B228" s="255" t="s">
        <v>1342</v>
      </c>
      <c r="C228" s="129" t="s">
        <v>178</v>
      </c>
      <c r="D228" s="277">
        <f>LOOKUP(A228,'[3]PT'!$A$2:$A$725,'[3]PT'!$D$2:$D$725)</f>
        <v>17.215</v>
      </c>
      <c r="E228" s="364">
        <f>E234</f>
        <v>0.51</v>
      </c>
      <c r="F228" s="324"/>
      <c r="G228" s="323"/>
      <c r="H228" s="302"/>
      <c r="O228" s="326" t="e">
        <f>D228/#REF!</f>
        <v>#REF!</v>
      </c>
    </row>
    <row r="229" spans="1:15" ht="15" customHeight="1">
      <c r="A229" s="136" t="s">
        <v>1331</v>
      </c>
      <c r="B229" s="255" t="s">
        <v>1343</v>
      </c>
      <c r="C229" s="129" t="s">
        <v>178</v>
      </c>
      <c r="D229" s="277">
        <f>LOOKUP(A229,'[3]PT'!$A$2:$A$725,'[3]PT'!$D$2:$D$725)</f>
        <v>28.78</v>
      </c>
      <c r="E229" s="364">
        <f>E233</f>
        <v>0.76</v>
      </c>
      <c r="F229" s="324"/>
      <c r="G229" s="323"/>
      <c r="H229" s="302"/>
      <c r="O229" s="326" t="e">
        <f>D229/#REF!</f>
        <v>#REF!</v>
      </c>
    </row>
    <row r="230" spans="1:15" ht="15" customHeight="1">
      <c r="A230" s="133" t="s">
        <v>1332</v>
      </c>
      <c r="B230" s="255" t="s">
        <v>1344</v>
      </c>
      <c r="C230" s="129" t="s">
        <v>178</v>
      </c>
      <c r="D230" s="277">
        <f>LOOKUP(A230,'[3]PT'!$A$2:$A$725,'[3]PT'!$D$2:$D$725)</f>
        <v>36.33</v>
      </c>
      <c r="E230" s="359">
        <v>14.11</v>
      </c>
      <c r="F230" s="324"/>
      <c r="G230" s="323"/>
      <c r="H230" s="302"/>
      <c r="O230" s="326" t="e">
        <f>D230/#REF!</f>
        <v>#REF!</v>
      </c>
    </row>
    <row r="231" spans="1:15" ht="15" customHeight="1">
      <c r="A231" s="133" t="s">
        <v>1333</v>
      </c>
      <c r="B231" s="255" t="s">
        <v>1345</v>
      </c>
      <c r="C231" s="129" t="s">
        <v>178</v>
      </c>
      <c r="D231" s="277">
        <f>LOOKUP(A231,'[3]PT'!$A$2:$A$725,'[3]PT'!$D$2:$D$725)</f>
        <v>168.44</v>
      </c>
      <c r="E231" s="364">
        <v>9.26</v>
      </c>
      <c r="F231" s="324"/>
      <c r="G231" s="323"/>
      <c r="H231" s="302"/>
      <c r="O231" s="326" t="e">
        <f>D231/#REF!</f>
        <v>#REF!</v>
      </c>
    </row>
    <row r="232" spans="1:15" ht="15" customHeight="1">
      <c r="A232" s="133" t="s">
        <v>1460</v>
      </c>
      <c r="B232" s="255" t="s">
        <v>1461</v>
      </c>
      <c r="C232" s="129" t="s">
        <v>178</v>
      </c>
      <c r="D232" s="277">
        <f>LOOKUP(A232,'[3]PT'!$A$2:$A$725,'[3]PT'!$D$2:$D$725)</f>
        <v>6.65</v>
      </c>
      <c r="E232" s="359">
        <v>0.61</v>
      </c>
      <c r="F232" s="324"/>
      <c r="G232" s="323"/>
      <c r="H232" s="302"/>
      <c r="O232" s="326" t="e">
        <f>D232/#REF!</f>
        <v>#REF!</v>
      </c>
    </row>
    <row r="233" spans="1:15" ht="15" customHeight="1">
      <c r="A233" s="133" t="s">
        <v>1456</v>
      </c>
      <c r="B233" s="255" t="s">
        <v>1457</v>
      </c>
      <c r="C233" s="129" t="s">
        <v>178</v>
      </c>
      <c r="D233" s="277">
        <f>LOOKUP(A233,'[3]PT'!$A$2:$A$725,'[3]PT'!$D$2:$D$725)</f>
        <v>7.805</v>
      </c>
      <c r="E233" s="359">
        <v>0.76</v>
      </c>
      <c r="F233" s="324"/>
      <c r="G233" s="323"/>
      <c r="H233" s="302"/>
      <c r="O233" s="326" t="e">
        <f>D233/#REF!</f>
        <v>#REF!</v>
      </c>
    </row>
    <row r="234" spans="1:15" ht="15" customHeight="1">
      <c r="A234" s="133" t="s">
        <v>1459</v>
      </c>
      <c r="B234" s="255" t="s">
        <v>1458</v>
      </c>
      <c r="C234" s="129" t="s">
        <v>178</v>
      </c>
      <c r="D234" s="277">
        <f>LOOKUP(A234,'[3]PT'!$A$2:$A$725,'[3]PT'!$D$2:$D$725)</f>
        <v>5.015</v>
      </c>
      <c r="E234" s="359">
        <v>0.51</v>
      </c>
      <c r="F234" s="324"/>
      <c r="G234" s="323"/>
      <c r="H234" s="302"/>
      <c r="O234" s="326" t="e">
        <f>D234/#REF!</f>
        <v>#REF!</v>
      </c>
    </row>
    <row r="235" spans="1:15" ht="15" customHeight="1">
      <c r="A235" s="133" t="s">
        <v>1647</v>
      </c>
      <c r="B235" s="254" t="s">
        <v>1947</v>
      </c>
      <c r="C235" s="127" t="s">
        <v>1948</v>
      </c>
      <c r="D235" s="277">
        <f>LOOKUP(A235,'[3]PT'!$A$2:$A$725,'[3]PT'!$D$2:$D$725)</f>
        <v>1800</v>
      </c>
      <c r="E235" s="328">
        <v>165.29</v>
      </c>
      <c r="F235" s="357"/>
      <c r="G235" s="352"/>
      <c r="H235" s="302" t="s">
        <v>1177</v>
      </c>
      <c r="L235" s="251">
        <v>2</v>
      </c>
      <c r="O235" s="326" t="e">
        <f>D235/#REF!</f>
        <v>#REF!</v>
      </c>
    </row>
    <row r="236" spans="1:15" ht="15" customHeight="1">
      <c r="A236" s="133" t="s">
        <v>63</v>
      </c>
      <c r="B236" s="254" t="s">
        <v>64</v>
      </c>
      <c r="C236" s="127" t="s">
        <v>178</v>
      </c>
      <c r="D236" s="277">
        <f>LOOKUP(A236,'[3]PT'!$A$2:$A$725,'[3]PT'!$D$2:$D$725)</f>
        <v>3.83</v>
      </c>
      <c r="E236" s="328">
        <v>0.64</v>
      </c>
      <c r="F236" s="324"/>
      <c r="G236" s="323"/>
      <c r="H236" s="302" t="s">
        <v>1238</v>
      </c>
      <c r="L236" s="251">
        <v>1</v>
      </c>
      <c r="O236" s="326" t="e">
        <f>D236/#REF!</f>
        <v>#REF!</v>
      </c>
    </row>
    <row r="237" spans="1:15" ht="15" customHeight="1">
      <c r="A237" s="133" t="s">
        <v>1648</v>
      </c>
      <c r="B237" s="254" t="s">
        <v>1945</v>
      </c>
      <c r="C237" s="127" t="s">
        <v>178</v>
      </c>
      <c r="D237" s="277">
        <f>LOOKUP(A237,'[3]PT'!$A$2:$A$725,'[3]PT'!$D$2:$D$725)</f>
        <v>3</v>
      </c>
      <c r="E237" s="328">
        <v>0.48</v>
      </c>
      <c r="F237" s="324"/>
      <c r="G237" s="323"/>
      <c r="H237" s="302" t="s">
        <v>1238</v>
      </c>
      <c r="L237" s="251">
        <v>1</v>
      </c>
      <c r="O237" s="326" t="e">
        <f>D237/#REF!</f>
        <v>#REF!</v>
      </c>
    </row>
    <row r="238" spans="1:15" ht="15" customHeight="1">
      <c r="A238" s="133" t="s">
        <v>1824</v>
      </c>
      <c r="B238" s="254" t="s">
        <v>1946</v>
      </c>
      <c r="C238" s="127" t="s">
        <v>178</v>
      </c>
      <c r="D238" s="277">
        <f>LOOKUP(A238,'[3]PT'!$A$2:$A$725,'[3]PT'!$D$2:$D$725)</f>
        <v>5.17</v>
      </c>
      <c r="E238" s="328">
        <v>0.84</v>
      </c>
      <c r="F238" s="324"/>
      <c r="G238" s="323"/>
      <c r="H238" s="302" t="s">
        <v>1238</v>
      </c>
      <c r="L238" s="251">
        <v>1</v>
      </c>
      <c r="O238" s="326" t="e">
        <f>D238/#REF!</f>
        <v>#REF!</v>
      </c>
    </row>
    <row r="239" spans="1:15" ht="15" customHeight="1">
      <c r="A239" s="133" t="s">
        <v>1871</v>
      </c>
      <c r="B239" s="254" t="s">
        <v>1472</v>
      </c>
      <c r="C239" s="127" t="s">
        <v>178</v>
      </c>
      <c r="D239" s="277">
        <f>LOOKUP(A239,'[3]PT'!$A$2:$A$725,'[3]PT'!$D$2:$D$725)</f>
        <v>7.03</v>
      </c>
      <c r="E239" s="328">
        <v>1.1</v>
      </c>
      <c r="F239" s="324"/>
      <c r="G239" s="323"/>
      <c r="H239" s="302" t="s">
        <v>1238</v>
      </c>
      <c r="L239" s="251">
        <v>1</v>
      </c>
      <c r="O239" s="326" t="e">
        <f>D239/#REF!</f>
        <v>#REF!</v>
      </c>
    </row>
    <row r="240" spans="1:15" ht="15" customHeight="1">
      <c r="A240" s="133" t="s">
        <v>1658</v>
      </c>
      <c r="B240" s="254" t="s">
        <v>1243</v>
      </c>
      <c r="C240" s="127" t="s">
        <v>178</v>
      </c>
      <c r="D240" s="277">
        <f>LOOKUP(A240,'[3]PT'!$A$2:$A$725,'[3]PT'!$D$2:$D$725)</f>
        <v>7.88</v>
      </c>
      <c r="E240" s="328">
        <v>1.09</v>
      </c>
      <c r="F240" s="324"/>
      <c r="G240" s="323"/>
      <c r="H240" s="302" t="s">
        <v>1238</v>
      </c>
      <c r="L240" s="251">
        <v>1</v>
      </c>
      <c r="O240" s="326" t="e">
        <f>D240/#REF!</f>
        <v>#REF!</v>
      </c>
    </row>
    <row r="241" spans="1:15" ht="15" customHeight="1">
      <c r="A241" s="133" t="s">
        <v>1653</v>
      </c>
      <c r="B241" s="254" t="s">
        <v>65</v>
      </c>
      <c r="C241" s="127" t="s">
        <v>1966</v>
      </c>
      <c r="D241" s="277">
        <f>LOOKUP(A241,'[3]PT'!$A$2:$A$725,'[3]PT'!$D$2:$D$725)</f>
        <v>2.1</v>
      </c>
      <c r="E241" s="366">
        <v>0.34</v>
      </c>
      <c r="F241" s="357"/>
      <c r="G241" s="323"/>
      <c r="H241" s="358" t="s">
        <v>1156</v>
      </c>
      <c r="L241" s="251">
        <v>2</v>
      </c>
      <c r="O241" s="326" t="e">
        <f>D241/#REF!</f>
        <v>#REF!</v>
      </c>
    </row>
    <row r="242" spans="1:15" ht="15" customHeight="1">
      <c r="A242" s="133" t="s">
        <v>1646</v>
      </c>
      <c r="B242" s="254" t="s">
        <v>1932</v>
      </c>
      <c r="C242" s="127" t="s">
        <v>1966</v>
      </c>
      <c r="D242" s="277">
        <f>LOOKUP(A242,'[3]PT'!$A$2:$A$725,'[3]PT'!$D$2:$D$725)</f>
        <v>1.57</v>
      </c>
      <c r="E242" s="328">
        <f>5.23/25/1.21</f>
        <v>0.1728925619834711</v>
      </c>
      <c r="F242" s="324"/>
      <c r="G242" s="323"/>
      <c r="H242" s="325"/>
      <c r="L242" s="251">
        <v>1</v>
      </c>
      <c r="O242" s="326" t="e">
        <f>D242/#REF!</f>
        <v>#REF!</v>
      </c>
    </row>
    <row r="243" spans="1:15" ht="15" customHeight="1">
      <c r="A243" s="133" t="s">
        <v>1768</v>
      </c>
      <c r="B243" s="254" t="s">
        <v>1934</v>
      </c>
      <c r="C243" s="127" t="s">
        <v>349</v>
      </c>
      <c r="D243" s="277">
        <f>LOOKUP(A243,'[3]PT'!$A$2:$A$725,'[3]PT'!$D$2:$D$725)</f>
        <v>74.25</v>
      </c>
      <c r="E243" s="328">
        <v>54</v>
      </c>
      <c r="F243" s="324"/>
      <c r="G243" s="323"/>
      <c r="H243" s="302" t="s">
        <v>1157</v>
      </c>
      <c r="L243" s="251">
        <v>1</v>
      </c>
      <c r="O243" s="326" t="e">
        <f>D243/#REF!</f>
        <v>#REF!</v>
      </c>
    </row>
    <row r="244" spans="1:15" ht="15" customHeight="1">
      <c r="A244" s="133" t="s">
        <v>1639</v>
      </c>
      <c r="B244" s="254" t="s">
        <v>1933</v>
      </c>
      <c r="C244" s="127" t="s">
        <v>1966</v>
      </c>
      <c r="D244" s="277">
        <f>LOOKUP(A244,'[3]PT'!$A$2:$A$725,'[3]PT'!$D$2:$D$725)</f>
        <v>1.65</v>
      </c>
      <c r="E244" s="367">
        <v>0.28</v>
      </c>
      <c r="F244" s="357"/>
      <c r="G244" s="323"/>
      <c r="H244" s="334" t="s">
        <v>1158</v>
      </c>
      <c r="J244" s="251">
        <f>0.2416+0.021</f>
        <v>0.2626</v>
      </c>
      <c r="L244" s="251">
        <v>2</v>
      </c>
      <c r="O244" s="326" t="e">
        <f>D244/#REF!</f>
        <v>#REF!</v>
      </c>
    </row>
    <row r="245" spans="1:18" ht="15" customHeight="1">
      <c r="A245" s="133"/>
      <c r="B245" s="254"/>
      <c r="C245" s="127"/>
      <c r="D245" s="277"/>
      <c r="E245" s="328">
        <v>172.9</v>
      </c>
      <c r="F245" s="324"/>
      <c r="G245" s="368"/>
      <c r="H245" s="334" t="s">
        <v>1178</v>
      </c>
      <c r="L245" s="251">
        <v>1</v>
      </c>
      <c r="O245" s="326" t="e">
        <f>D245/#REF!</f>
        <v>#REF!</v>
      </c>
      <c r="Q245" s="408" t="s">
        <v>2029</v>
      </c>
      <c r="R245" s="15" t="s">
        <v>2036</v>
      </c>
    </row>
    <row r="246" spans="1:15" ht="15" customHeight="1">
      <c r="A246" s="133" t="s">
        <v>1650</v>
      </c>
      <c r="B246" s="254" t="s">
        <v>1935</v>
      </c>
      <c r="C246" s="127" t="s">
        <v>1966</v>
      </c>
      <c r="D246" s="277">
        <f>LOOKUP(A246,'[3]PT'!$A$2:$A$725,'[3]PT'!$D$2:$D$725)</f>
        <v>3.3833</v>
      </c>
      <c r="E246" s="328">
        <v>0.43</v>
      </c>
      <c r="F246" s="324"/>
      <c r="G246" s="323"/>
      <c r="H246" s="302" t="s">
        <v>1259</v>
      </c>
      <c r="L246" s="251">
        <v>3</v>
      </c>
      <c r="O246" s="326" t="e">
        <f>D246/#REF!</f>
        <v>#REF!</v>
      </c>
    </row>
    <row r="247" spans="1:15" ht="15" customHeight="1">
      <c r="A247" s="133" t="s">
        <v>147</v>
      </c>
      <c r="B247" s="254" t="s">
        <v>66</v>
      </c>
      <c r="C247" s="127" t="s">
        <v>1937</v>
      </c>
      <c r="D247" s="277">
        <f>LOOKUP(A247,'[3]PT'!$A$2:$A$725,'[3]PT'!$D$2:$D$725)</f>
        <v>90.645</v>
      </c>
      <c r="E247" s="328">
        <v>13.44</v>
      </c>
      <c r="F247" s="357"/>
      <c r="G247" s="323"/>
      <c r="H247" s="302" t="s">
        <v>1159</v>
      </c>
      <c r="L247" s="251">
        <v>2</v>
      </c>
      <c r="O247" s="326" t="e">
        <f>D247/#REF!</f>
        <v>#REF!</v>
      </c>
    </row>
    <row r="248" spans="1:15" ht="15" customHeight="1">
      <c r="A248" s="133" t="s">
        <v>67</v>
      </c>
      <c r="B248" s="254" t="s">
        <v>68</v>
      </c>
      <c r="C248" s="127" t="s">
        <v>1810</v>
      </c>
      <c r="D248" s="277">
        <f>LOOKUP(A248,'[3]PT'!$A$2:$A$725,'[3]PT'!$D$2:$D$725)</f>
        <v>19.46</v>
      </c>
      <c r="E248" s="328">
        <v>2.59</v>
      </c>
      <c r="F248" s="357"/>
      <c r="G248" s="323"/>
      <c r="H248" s="302"/>
      <c r="L248" s="251">
        <v>2</v>
      </c>
      <c r="O248" s="326" t="e">
        <f>D248/#REF!</f>
        <v>#REF!</v>
      </c>
    </row>
    <row r="249" spans="1:15" ht="15" customHeight="1">
      <c r="A249" s="133" t="s">
        <v>69</v>
      </c>
      <c r="B249" s="254" t="s">
        <v>1449</v>
      </c>
      <c r="C249" s="127" t="s">
        <v>1937</v>
      </c>
      <c r="D249" s="277">
        <f>LOOKUP(A249,'[3]PT'!$A$2:$A$725,'[3]PT'!$D$2:$D$725)</f>
        <v>96.1</v>
      </c>
      <c r="E249" s="328">
        <v>14.88</v>
      </c>
      <c r="F249" s="357"/>
      <c r="G249" s="323"/>
      <c r="H249" s="302"/>
      <c r="L249" s="251">
        <v>2</v>
      </c>
      <c r="O249" s="326" t="e">
        <f>D249/#REF!</f>
        <v>#REF!</v>
      </c>
    </row>
    <row r="250" spans="1:15" ht="15" customHeight="1">
      <c r="A250" s="133" t="s">
        <v>1346</v>
      </c>
      <c r="B250" s="254" t="s">
        <v>1349</v>
      </c>
      <c r="C250" s="127" t="s">
        <v>1937</v>
      </c>
      <c r="D250" s="277">
        <f>LOOKUP(A250,'[3]PT'!$A$2:$A$725,'[3]PT'!$D$2:$D$725)</f>
        <v>75.095</v>
      </c>
      <c r="E250" s="328">
        <v>11.16</v>
      </c>
      <c r="F250" s="357"/>
      <c r="G250" s="323"/>
      <c r="H250" s="302"/>
      <c r="O250" s="326" t="e">
        <f>D250/#REF!</f>
        <v>#REF!</v>
      </c>
    </row>
    <row r="251" spans="1:15" ht="15" customHeight="1">
      <c r="A251" s="136" t="s">
        <v>148</v>
      </c>
      <c r="B251" s="254" t="s">
        <v>1463</v>
      </c>
      <c r="C251" s="127" t="s">
        <v>1937</v>
      </c>
      <c r="D251" s="277">
        <f>LOOKUP(A251,'[3]PT'!$A$2:$A$725,'[3]PT'!$D$2:$D$725)</f>
        <v>77.815</v>
      </c>
      <c r="E251" s="342">
        <f>12.8/1.21</f>
        <v>10.578512396694215</v>
      </c>
      <c r="F251" s="357"/>
      <c r="G251" s="323"/>
      <c r="H251" s="325"/>
      <c r="L251" s="251">
        <v>2</v>
      </c>
      <c r="O251" s="326" t="e">
        <f>D251/#REF!</f>
        <v>#REF!</v>
      </c>
    </row>
    <row r="252" spans="1:15" ht="15" customHeight="1">
      <c r="A252" s="133" t="s">
        <v>148</v>
      </c>
      <c r="B252" s="254" t="s">
        <v>70</v>
      </c>
      <c r="C252" s="127" t="s">
        <v>1937</v>
      </c>
      <c r="D252" s="277">
        <f>LOOKUP(A252,'[3]PT'!$A$2:$A$725,'[3]PT'!$D$2:$D$725)</f>
        <v>77.815</v>
      </c>
      <c r="E252" s="366">
        <v>11.49</v>
      </c>
      <c r="F252" s="357"/>
      <c r="G252" s="323"/>
      <c r="H252" s="302"/>
      <c r="L252" s="251">
        <v>2</v>
      </c>
      <c r="O252" s="326" t="e">
        <f>D252/#REF!</f>
        <v>#REF!</v>
      </c>
    </row>
    <row r="253" spans="1:15" ht="15" customHeight="1">
      <c r="A253" s="133" t="s">
        <v>1347</v>
      </c>
      <c r="B253" s="254" t="s">
        <v>1350</v>
      </c>
      <c r="C253" s="127" t="s">
        <v>1937</v>
      </c>
      <c r="D253" s="277">
        <f>LOOKUP(A253,'[3]PT'!$A$2:$A$725,'[3]PT'!$D$2:$D$725)</f>
        <v>48.275</v>
      </c>
      <c r="E253" s="366">
        <v>7.44</v>
      </c>
      <c r="F253" s="357"/>
      <c r="G253" s="323"/>
      <c r="H253" s="302"/>
      <c r="O253" s="326" t="e">
        <f>D253/#REF!</f>
        <v>#REF!</v>
      </c>
    </row>
    <row r="254" spans="1:15" ht="15" customHeight="1">
      <c r="A254" s="133" t="s">
        <v>1348</v>
      </c>
      <c r="B254" s="254" t="s">
        <v>1351</v>
      </c>
      <c r="C254" s="127" t="s">
        <v>1810</v>
      </c>
      <c r="D254" s="277">
        <f>LOOKUP(A254,'[3]PT'!$A$2:$A$725,'[3]PT'!$D$2:$D$725)</f>
        <v>8.82</v>
      </c>
      <c r="E254" s="366">
        <v>0.91</v>
      </c>
      <c r="F254" s="357"/>
      <c r="G254" s="323"/>
      <c r="H254" s="302"/>
      <c r="O254" s="326" t="e">
        <f>D254/#REF!</f>
        <v>#REF!</v>
      </c>
    </row>
    <row r="255" spans="1:15" ht="15" customHeight="1">
      <c r="A255" s="133" t="s">
        <v>1760</v>
      </c>
      <c r="B255" s="254" t="s">
        <v>2002</v>
      </c>
      <c r="C255" s="127" t="s">
        <v>1810</v>
      </c>
      <c r="D255" s="277">
        <f>LOOKUP(A255,'[3]PT'!$A$2:$A$725,'[3]PT'!$D$2:$D$725)</f>
        <v>44.24</v>
      </c>
      <c r="E255" s="328">
        <v>6.5</v>
      </c>
      <c r="F255" s="357"/>
      <c r="G255" s="323"/>
      <c r="H255" s="302"/>
      <c r="L255" s="251">
        <v>2</v>
      </c>
      <c r="O255" s="326" t="e">
        <f>D255/#REF!</f>
        <v>#REF!</v>
      </c>
    </row>
    <row r="256" spans="1:15" ht="15" customHeight="1">
      <c r="A256" s="133" t="s">
        <v>1352</v>
      </c>
      <c r="B256" s="254" t="s">
        <v>1357</v>
      </c>
      <c r="C256" s="127" t="s">
        <v>1937</v>
      </c>
      <c r="D256" s="277">
        <f>LOOKUP(A256,'[3]PT'!$A$2:$A$725,'[3]PT'!$D$2:$D$725)</f>
        <v>133.345</v>
      </c>
      <c r="E256" s="328">
        <v>24.8065</v>
      </c>
      <c r="F256" s="357"/>
      <c r="G256" s="323"/>
      <c r="H256" s="302"/>
      <c r="O256" s="326" t="e">
        <f>D256/#REF!</f>
        <v>#REF!</v>
      </c>
    </row>
    <row r="257" spans="1:15" ht="15" customHeight="1">
      <c r="A257" s="133" t="s">
        <v>1353</v>
      </c>
      <c r="B257" s="254" t="s">
        <v>1358</v>
      </c>
      <c r="C257" s="127" t="s">
        <v>1937</v>
      </c>
      <c r="D257" s="277">
        <f>LOOKUP(A257,'[3]PT'!$A$2:$A$725,'[3]PT'!$D$2:$D$725)</f>
        <v>164.295</v>
      </c>
      <c r="E257" s="328">
        <v>28.105</v>
      </c>
      <c r="F257" s="357"/>
      <c r="G257" s="323"/>
      <c r="H257" s="302"/>
      <c r="O257" s="326" t="e">
        <f>D257/#REF!</f>
        <v>#REF!</v>
      </c>
    </row>
    <row r="258" spans="1:15" ht="15" customHeight="1">
      <c r="A258" s="133" t="s">
        <v>1761</v>
      </c>
      <c r="B258" s="254" t="s">
        <v>2003</v>
      </c>
      <c r="C258" s="127" t="s">
        <v>1810</v>
      </c>
      <c r="D258" s="277">
        <f>LOOKUP(A258,'[3]PT'!$A$2:$A$725,'[3]PT'!$D$2:$D$725)</f>
        <v>4.195</v>
      </c>
      <c r="E258" s="328">
        <v>0.63</v>
      </c>
      <c r="F258" s="357"/>
      <c r="G258" s="323"/>
      <c r="H258" s="302"/>
      <c r="L258" s="251">
        <v>2</v>
      </c>
      <c r="O258" s="326" t="e">
        <f>D258/#REF!</f>
        <v>#REF!</v>
      </c>
    </row>
    <row r="259" spans="1:15" ht="15" customHeight="1">
      <c r="A259" s="133" t="s">
        <v>1354</v>
      </c>
      <c r="B259" s="254" t="s">
        <v>1359</v>
      </c>
      <c r="C259" s="127" t="s">
        <v>1810</v>
      </c>
      <c r="D259" s="277">
        <f>LOOKUP(A259,'[3]PT'!$A$2:$A$725,'[3]PT'!$D$2:$D$725)</f>
        <v>22.11</v>
      </c>
      <c r="E259" s="328">
        <v>3.9669</v>
      </c>
      <c r="F259" s="357"/>
      <c r="G259" s="323"/>
      <c r="H259" s="302"/>
      <c r="O259" s="326" t="e">
        <f>D259/#REF!</f>
        <v>#REF!</v>
      </c>
    </row>
    <row r="260" spans="1:15" ht="15" customHeight="1">
      <c r="A260" s="133" t="s">
        <v>1355</v>
      </c>
      <c r="B260" s="254" t="s">
        <v>1360</v>
      </c>
      <c r="C260" s="127" t="s">
        <v>1937</v>
      </c>
      <c r="D260" s="277">
        <f>LOOKUP(A260,'[3]PT'!$A$2:$A$725,'[3]PT'!$D$2:$D$725)</f>
        <v>305.77</v>
      </c>
      <c r="E260" s="328">
        <v>48.6777</v>
      </c>
      <c r="F260" s="357"/>
      <c r="G260" s="323"/>
      <c r="H260" s="302"/>
      <c r="O260" s="326" t="e">
        <f>D260/#REF!</f>
        <v>#REF!</v>
      </c>
    </row>
    <row r="261" spans="1:15" ht="15" customHeight="1">
      <c r="A261" s="133" t="s">
        <v>1356</v>
      </c>
      <c r="B261" s="254" t="s">
        <v>1361</v>
      </c>
      <c r="C261" s="127" t="s">
        <v>1810</v>
      </c>
      <c r="D261" s="277">
        <f>LOOKUP(A261,'[3]PT'!$A$2:$A$725,'[3]PT'!$D$2:$D$725)</f>
        <v>41.14</v>
      </c>
      <c r="E261" s="328">
        <v>7.7934</v>
      </c>
      <c r="F261" s="357"/>
      <c r="G261" s="323"/>
      <c r="H261" s="302"/>
      <c r="O261" s="326" t="e">
        <f>D261/#REF!</f>
        <v>#REF!</v>
      </c>
    </row>
    <row r="262" spans="1:15" ht="15" customHeight="1">
      <c r="A262" s="133" t="s">
        <v>1766</v>
      </c>
      <c r="B262" s="254" t="s">
        <v>2004</v>
      </c>
      <c r="C262" s="127" t="s">
        <v>1810</v>
      </c>
      <c r="D262" s="277">
        <f>LOOKUP(A262,'[3]PT'!$A$2:$A$725,'[3]PT'!$D$2:$D$725)</f>
        <v>16.04</v>
      </c>
      <c r="E262" s="328">
        <v>2.2397</v>
      </c>
      <c r="F262" s="357"/>
      <c r="G262" s="323"/>
      <c r="H262" s="302"/>
      <c r="L262" s="251">
        <v>2</v>
      </c>
      <c r="O262" s="326" t="e">
        <f>D262/#REF!</f>
        <v>#REF!</v>
      </c>
    </row>
    <row r="263" spans="1:15" ht="15" customHeight="1">
      <c r="A263" s="133" t="s">
        <v>1082</v>
      </c>
      <c r="B263" s="254" t="s">
        <v>1083</v>
      </c>
      <c r="C263" s="127" t="s">
        <v>178</v>
      </c>
      <c r="D263" s="277">
        <f>LOOKUP(A263,'[3]PT'!$A$2:$A$725,'[3]PT'!$D$2:$D$725)</f>
        <v>264.46</v>
      </c>
      <c r="E263" s="369"/>
      <c r="F263" s="324"/>
      <c r="G263" s="335">
        <v>27</v>
      </c>
      <c r="H263" s="370" t="s">
        <v>1160</v>
      </c>
      <c r="L263" s="251">
        <v>1</v>
      </c>
      <c r="O263" s="326" t="e">
        <f>D263/#REF!</f>
        <v>#REF!</v>
      </c>
    </row>
    <row r="264" spans="1:15" ht="15" customHeight="1">
      <c r="A264" s="133" t="s">
        <v>1084</v>
      </c>
      <c r="B264" s="254" t="s">
        <v>1085</v>
      </c>
      <c r="C264" s="127" t="s">
        <v>178</v>
      </c>
      <c r="D264" s="277">
        <f>LOOKUP(A264,'[3]PT'!$A$2:$A$725,'[3]PT'!$D$2:$D$725)</f>
        <v>147.11</v>
      </c>
      <c r="E264" s="369"/>
      <c r="F264" s="324"/>
      <c r="G264" s="335">
        <v>18</v>
      </c>
      <c r="H264" s="370" t="s">
        <v>1160</v>
      </c>
      <c r="L264" s="251">
        <v>1</v>
      </c>
      <c r="O264" s="326" t="e">
        <f>D264/#REF!</f>
        <v>#REF!</v>
      </c>
    </row>
    <row r="265" spans="1:15" ht="15" customHeight="1">
      <c r="A265" s="133" t="s">
        <v>1086</v>
      </c>
      <c r="B265" s="258" t="s">
        <v>1040</v>
      </c>
      <c r="C265" s="127" t="s">
        <v>178</v>
      </c>
      <c r="D265" s="277">
        <f>LOOKUP(A265,'[3]PT'!$A$2:$A$725,'[3]PT'!$D$2:$D$725)</f>
        <v>11.57</v>
      </c>
      <c r="E265" s="342"/>
      <c r="F265" s="324"/>
      <c r="G265" s="335">
        <v>1.1</v>
      </c>
      <c r="H265" s="370" t="s">
        <v>1160</v>
      </c>
      <c r="L265" s="251">
        <v>1</v>
      </c>
      <c r="O265" s="326" t="e">
        <f>D265/#REF!</f>
        <v>#REF!</v>
      </c>
    </row>
    <row r="266" spans="1:15" ht="15" customHeight="1">
      <c r="A266" s="133" t="s">
        <v>1087</v>
      </c>
      <c r="B266" s="258" t="s">
        <v>1041</v>
      </c>
      <c r="C266" s="127" t="s">
        <v>178</v>
      </c>
      <c r="D266" s="277">
        <f>LOOKUP(A266,'[3]PT'!$A$2:$A$725,'[3]PT'!$D$2:$D$725)</f>
        <v>9.92</v>
      </c>
      <c r="E266" s="342"/>
      <c r="F266" s="324"/>
      <c r="G266" s="335">
        <v>0.9</v>
      </c>
      <c r="H266" s="370" t="s">
        <v>1160</v>
      </c>
      <c r="L266" s="251">
        <v>1</v>
      </c>
      <c r="O266" s="326" t="e">
        <f>D266/#REF!</f>
        <v>#REF!</v>
      </c>
    </row>
    <row r="267" spans="1:15" ht="15" customHeight="1">
      <c r="A267" s="133" t="s">
        <v>1264</v>
      </c>
      <c r="B267" s="254" t="s">
        <v>1184</v>
      </c>
      <c r="C267" s="127" t="s">
        <v>178</v>
      </c>
      <c r="D267" s="277">
        <f>LOOKUP(A267,'[3]PT'!$A$2:$A$725,'[3]PT'!$D$2:$D$725)</f>
        <v>3674.8</v>
      </c>
      <c r="E267" s="342"/>
      <c r="F267" s="324"/>
      <c r="G267" s="335">
        <f>322+91+910</f>
        <v>1323</v>
      </c>
      <c r="H267" s="370" t="s">
        <v>1160</v>
      </c>
      <c r="I267" s="370"/>
      <c r="J267" s="371"/>
      <c r="L267" s="251">
        <v>1</v>
      </c>
      <c r="O267" s="326" t="e">
        <f>D267/#REF!</f>
        <v>#REF!</v>
      </c>
    </row>
    <row r="268" spans="1:15" ht="15" customHeight="1">
      <c r="A268" s="133" t="s">
        <v>1362</v>
      </c>
      <c r="B268" s="254" t="s">
        <v>1363</v>
      </c>
      <c r="C268" s="127" t="s">
        <v>1937</v>
      </c>
      <c r="D268" s="277">
        <f>LOOKUP(A268,'[3]PT'!$A$2:$A$725,'[3]PT'!$D$2:$D$725)</f>
        <v>239.72</v>
      </c>
      <c r="E268" s="328">
        <v>27.76</v>
      </c>
      <c r="F268" s="324" t="s">
        <v>367</v>
      </c>
      <c r="G268" s="372"/>
      <c r="H268" s="370"/>
      <c r="I268" s="370"/>
      <c r="J268" s="371"/>
      <c r="O268" s="326" t="e">
        <f>D268/#REF!</f>
        <v>#REF!</v>
      </c>
    </row>
    <row r="269" spans="1:15" ht="15" customHeight="1">
      <c r="A269" s="133" t="s">
        <v>1922</v>
      </c>
      <c r="B269" s="254" t="s">
        <v>1923</v>
      </c>
      <c r="C269" s="127" t="s">
        <v>1924</v>
      </c>
      <c r="D269" s="277">
        <f>LOOKUP(A269,'[3]PT'!$A$2:$A$725,'[3]PT'!$D$2:$D$725)</f>
        <v>74.26</v>
      </c>
      <c r="E269" s="341">
        <v>5.612</v>
      </c>
      <c r="F269" s="324"/>
      <c r="G269" s="323"/>
      <c r="H269" s="325" t="s">
        <v>1207</v>
      </c>
      <c r="I269" s="373">
        <f>106.9/176</f>
        <v>0.6073863636363637</v>
      </c>
      <c r="J269" s="374" t="s">
        <v>1206</v>
      </c>
      <c r="L269" s="251">
        <v>1</v>
      </c>
      <c r="O269" s="326" t="e">
        <f>D269/#REF!</f>
        <v>#REF!</v>
      </c>
    </row>
    <row r="270" spans="1:15" ht="15" customHeight="1">
      <c r="A270" s="133" t="s">
        <v>1925</v>
      </c>
      <c r="B270" s="254" t="s">
        <v>1926</v>
      </c>
      <c r="C270" s="127" t="s">
        <v>1924</v>
      </c>
      <c r="D270" s="277">
        <f>LOOKUP(A270,'[3]PT'!$A$2:$A$725,'[3]PT'!$D$2:$D$725)</f>
        <v>63.28</v>
      </c>
      <c r="E270" s="341">
        <v>5.378</v>
      </c>
      <c r="F270" s="324"/>
      <c r="G270" s="323"/>
      <c r="H270" s="325"/>
      <c r="I270" s="375">
        <v>0.069</v>
      </c>
      <c r="J270" s="251" t="s">
        <v>1179</v>
      </c>
      <c r="L270" s="251">
        <v>1</v>
      </c>
      <c r="O270" s="326" t="e">
        <f>D270/#REF!</f>
        <v>#REF!</v>
      </c>
    </row>
    <row r="271" spans="1:15" ht="15" customHeight="1">
      <c r="A271" s="133" t="s">
        <v>1927</v>
      </c>
      <c r="B271" s="254" t="s">
        <v>1928</v>
      </c>
      <c r="C271" s="127" t="s">
        <v>1924</v>
      </c>
      <c r="D271" s="277">
        <f>LOOKUP(A271,'[3]PT'!$A$2:$A$725,'[3]PT'!$D$2:$D$725)</f>
        <v>58.34</v>
      </c>
      <c r="E271" s="341">
        <v>5.221</v>
      </c>
      <c r="F271" s="324"/>
      <c r="G271" s="323"/>
      <c r="H271" s="325"/>
      <c r="L271" s="251">
        <v>1</v>
      </c>
      <c r="O271" s="326" t="e">
        <f>D271/#REF!</f>
        <v>#REF!</v>
      </c>
    </row>
    <row r="272" spans="1:15" ht="15" customHeight="1">
      <c r="A272" s="133" t="s">
        <v>1929</v>
      </c>
      <c r="B272" s="254" t="s">
        <v>1930</v>
      </c>
      <c r="C272" s="127" t="s">
        <v>1924</v>
      </c>
      <c r="D272" s="277">
        <f>LOOKUP(A272,'[3]PT'!$A$2:$A$725,'[3]PT'!$D$2:$D$725)</f>
        <v>53.57</v>
      </c>
      <c r="E272" s="341">
        <v>5.182</v>
      </c>
      <c r="F272" s="324"/>
      <c r="G272" s="323"/>
      <c r="H272" s="325"/>
      <c r="L272" s="251">
        <v>1</v>
      </c>
      <c r="O272" s="326" t="e">
        <f>D272/#REF!</f>
        <v>#REF!</v>
      </c>
    </row>
    <row r="273" spans="1:15" ht="15" customHeight="1">
      <c r="A273" s="133" t="s">
        <v>1088</v>
      </c>
      <c r="B273" s="254" t="s">
        <v>1089</v>
      </c>
      <c r="C273" s="127" t="s">
        <v>1924</v>
      </c>
      <c r="D273" s="277">
        <f>LOOKUP(A273,'[3]PT'!$A$2:$A$725,'[3]PT'!$D$2:$D$725)</f>
        <v>63.7033</v>
      </c>
      <c r="E273" s="376">
        <f>(E272+E270+E269)/3</f>
        <v>5.390666666666667</v>
      </c>
      <c r="F273" s="322"/>
      <c r="G273" s="321"/>
      <c r="H273" s="325"/>
      <c r="L273" s="251">
        <v>1</v>
      </c>
      <c r="O273" s="326" t="e">
        <f>D273/#REF!</f>
        <v>#REF!</v>
      </c>
    </row>
    <row r="274" spans="1:15" ht="15" customHeight="1">
      <c r="A274" s="133" t="s">
        <v>1636</v>
      </c>
      <c r="B274" s="254" t="s">
        <v>1931</v>
      </c>
      <c r="C274" s="127" t="s">
        <v>1924</v>
      </c>
      <c r="D274" s="277">
        <f>LOOKUP(A274,'[3]PT'!$A$2:$A$725,'[3]PT'!$D$2:$D$725)</f>
        <v>58.06</v>
      </c>
      <c r="E274" s="376">
        <f>ROUND(0.1*E269+0.2*E270+0.1*E271+0.6*E272,3)</f>
        <v>5.268</v>
      </c>
      <c r="F274" s="322"/>
      <c r="G274" s="321"/>
      <c r="H274" s="302"/>
      <c r="L274" s="251">
        <v>1</v>
      </c>
      <c r="O274" s="326" t="e">
        <f>D274/#REF!</f>
        <v>#REF!</v>
      </c>
    </row>
    <row r="275" spans="1:15" ht="15" customHeight="1">
      <c r="A275" s="133" t="s">
        <v>1668</v>
      </c>
      <c r="B275" s="254" t="s">
        <v>2011</v>
      </c>
      <c r="C275" s="127" t="s">
        <v>1924</v>
      </c>
      <c r="D275" s="277">
        <f>LOOKUP(A275,'[3]PT'!$A$2:$A$725,'[3]PT'!$D$2:$D$725)</f>
        <v>67.43</v>
      </c>
      <c r="E275" s="376">
        <f>ROUND(0.6*E269+0.1*E270+0.1*E271+0.2*E272,3)</f>
        <v>5.464</v>
      </c>
      <c r="F275" s="322"/>
      <c r="G275" s="321"/>
      <c r="H275" s="302"/>
      <c r="L275" s="251">
        <v>1</v>
      </c>
      <c r="O275" s="326" t="e">
        <f>D275/#REF!</f>
        <v>#REF!</v>
      </c>
    </row>
    <row r="276" spans="1:15" ht="15" customHeight="1">
      <c r="A276" s="133" t="s">
        <v>1195</v>
      </c>
      <c r="B276" s="254" t="s">
        <v>1196</v>
      </c>
      <c r="C276" s="127" t="s">
        <v>1924</v>
      </c>
      <c r="D276" s="277">
        <f>LOOKUP(A276,'[3]PT'!$A$2:$A$725,'[3]PT'!$D$2:$D$725)</f>
        <v>74.26</v>
      </c>
      <c r="E276" s="377">
        <f>E269</f>
        <v>5.612</v>
      </c>
      <c r="F276" s="322"/>
      <c r="G276" s="321"/>
      <c r="H276" s="302"/>
      <c r="O276" s="326" t="e">
        <f>D276/#REF!</f>
        <v>#REF!</v>
      </c>
    </row>
    <row r="277" spans="1:15" ht="15" customHeight="1">
      <c r="A277" s="137" t="s">
        <v>1316</v>
      </c>
      <c r="B277" s="258" t="s">
        <v>439</v>
      </c>
      <c r="C277" s="127" t="s">
        <v>178</v>
      </c>
      <c r="D277" s="277">
        <f>LOOKUP(A277,'[3]PT'!$A$2:$A$725,'[3]PT'!$D$2:$D$725)</f>
        <v>18223.14</v>
      </c>
      <c r="E277" s="378">
        <v>2468.23</v>
      </c>
      <c r="F277" s="324"/>
      <c r="G277" s="323"/>
      <c r="H277" s="302" t="s">
        <v>1161</v>
      </c>
      <c r="L277" s="251">
        <v>1</v>
      </c>
      <c r="O277" s="326" t="e">
        <f>D277/#REF!</f>
        <v>#REF!</v>
      </c>
    </row>
    <row r="278" spans="1:15" ht="15" customHeight="1">
      <c r="A278" s="137" t="s">
        <v>211</v>
      </c>
      <c r="B278" s="254" t="s">
        <v>212</v>
      </c>
      <c r="C278" s="127" t="s">
        <v>178</v>
      </c>
      <c r="D278" s="277">
        <f>LOOKUP(A278,'[3]PT'!$A$2:$A$725,'[3]PT'!$D$2:$D$725)</f>
        <v>18817.19</v>
      </c>
      <c r="E278" s="378">
        <v>2850.02</v>
      </c>
      <c r="F278" s="324"/>
      <c r="G278" s="323"/>
      <c r="H278" s="302"/>
      <c r="O278" s="326" t="e">
        <f>D278/#REF!</f>
        <v>#REF!</v>
      </c>
    </row>
    <row r="279" spans="1:15" ht="15" customHeight="1">
      <c r="A279" s="137" t="s">
        <v>213</v>
      </c>
      <c r="B279" s="259" t="s">
        <v>214</v>
      </c>
      <c r="C279" s="127" t="s">
        <v>178</v>
      </c>
      <c r="D279" s="277">
        <f>LOOKUP(A279,'[3]PT'!$A$2:$A$725,'[3]PT'!$D$2:$D$725)</f>
        <v>7968.33</v>
      </c>
      <c r="E279" s="379">
        <v>2139.79</v>
      </c>
      <c r="F279" s="324"/>
      <c r="G279" s="323"/>
      <c r="H279" s="302"/>
      <c r="L279" s="251">
        <v>1</v>
      </c>
      <c r="O279" s="326" t="e">
        <f>D279/#REF!</f>
        <v>#REF!</v>
      </c>
    </row>
    <row r="280" spans="1:15" ht="15" customHeight="1">
      <c r="A280" s="137" t="s">
        <v>215</v>
      </c>
      <c r="B280" s="254" t="s">
        <v>216</v>
      </c>
      <c r="C280" s="127" t="s">
        <v>178</v>
      </c>
      <c r="D280" s="277">
        <f>LOOKUP(A280,'[3]PT'!$A$2:$A$725,'[3]PT'!$D$2:$D$725)</f>
        <v>1976.03</v>
      </c>
      <c r="E280" s="378">
        <f>807.75/1.21</f>
        <v>667.5619834710744</v>
      </c>
      <c r="F280" s="324"/>
      <c r="G280" s="323"/>
      <c r="H280" s="302"/>
      <c r="L280" s="251">
        <v>1</v>
      </c>
      <c r="O280" s="326" t="e">
        <f>D280/#REF!</f>
        <v>#REF!</v>
      </c>
    </row>
    <row r="281" spans="1:15" ht="15" customHeight="1">
      <c r="A281" s="137" t="s">
        <v>217</v>
      </c>
      <c r="B281" s="254" t="s">
        <v>218</v>
      </c>
      <c r="C281" s="127" t="s">
        <v>1810</v>
      </c>
      <c r="D281" s="277">
        <f>LOOKUP(A281,'[3]PT'!$A$2:$A$725,'[3]PT'!$D$2:$D$725)</f>
        <v>205.79</v>
      </c>
      <c r="E281" s="378">
        <v>26.86</v>
      </c>
      <c r="F281" s="324"/>
      <c r="G281" s="323"/>
      <c r="H281" s="302"/>
      <c r="L281" s="251">
        <v>1</v>
      </c>
      <c r="O281" s="326" t="e">
        <f>D281/#REF!</f>
        <v>#REF!</v>
      </c>
    </row>
    <row r="282" spans="1:15" ht="15" customHeight="1">
      <c r="A282" s="137" t="s">
        <v>219</v>
      </c>
      <c r="B282" s="254" t="s">
        <v>325</v>
      </c>
      <c r="C282" s="127" t="s">
        <v>1810</v>
      </c>
      <c r="D282" s="277">
        <f>LOOKUP(A282,'[3]PT'!$A$2:$A$725,'[3]PT'!$D$2:$D$725)</f>
        <v>494.83</v>
      </c>
      <c r="E282" s="378">
        <v>42.23</v>
      </c>
      <c r="F282" s="324"/>
      <c r="G282" s="323"/>
      <c r="H282" s="302"/>
      <c r="L282" s="251">
        <v>1</v>
      </c>
      <c r="O282" s="326" t="e">
        <f>D282/#REF!</f>
        <v>#REF!</v>
      </c>
    </row>
    <row r="283" spans="1:15" ht="15" customHeight="1">
      <c r="A283" s="133" t="s">
        <v>1773</v>
      </c>
      <c r="B283" s="254" t="s">
        <v>71</v>
      </c>
      <c r="C283" s="127" t="s">
        <v>348</v>
      </c>
      <c r="D283" s="277">
        <f>LOOKUP(A283,'[3]PT'!$A$2:$A$725,'[3]PT'!$D$2:$D$725)</f>
        <v>23.6267</v>
      </c>
      <c r="E283" s="328">
        <v>3.64</v>
      </c>
      <c r="F283" s="324"/>
      <c r="G283" s="323"/>
      <c r="H283" s="302" t="s">
        <v>1162</v>
      </c>
      <c r="L283" s="251">
        <v>3</v>
      </c>
      <c r="O283" s="326" t="e">
        <f>D283/#REF!</f>
        <v>#REF!</v>
      </c>
    </row>
    <row r="284" spans="1:15" ht="15" customHeight="1">
      <c r="A284" s="133" t="s">
        <v>185</v>
      </c>
      <c r="B284" s="254" t="s">
        <v>72</v>
      </c>
      <c r="C284" s="127" t="s">
        <v>178</v>
      </c>
      <c r="D284" s="277">
        <f>LOOKUP(A284,'[3]PT'!$A$2:$A$725,'[3]PT'!$D$2:$D$725)</f>
        <v>223.16</v>
      </c>
      <c r="E284" s="328">
        <v>35.25</v>
      </c>
      <c r="F284" s="324"/>
      <c r="G284" s="323"/>
      <c r="H284" s="302"/>
      <c r="O284" s="326" t="e">
        <f>D284/#REF!</f>
        <v>#REF!</v>
      </c>
    </row>
    <row r="285" spans="1:15" ht="15" customHeight="1">
      <c r="A285" s="133" t="s">
        <v>1680</v>
      </c>
      <c r="B285" s="254" t="s">
        <v>1964</v>
      </c>
      <c r="C285" s="127" t="s">
        <v>178</v>
      </c>
      <c r="D285" s="277">
        <f>LOOKUP(A285,'[3]PT'!$A$2:$A$725,'[3]PT'!$D$2:$D$725)</f>
        <v>264.4367</v>
      </c>
      <c r="E285" s="328">
        <v>39.92</v>
      </c>
      <c r="F285" s="324"/>
      <c r="G285" s="323"/>
      <c r="H285" s="302"/>
      <c r="O285" s="326" t="e">
        <f>D285/#REF!</f>
        <v>#REF!</v>
      </c>
    </row>
    <row r="286" spans="1:15" ht="15" customHeight="1">
      <c r="A286" s="133" t="s">
        <v>1781</v>
      </c>
      <c r="B286" s="254" t="s">
        <v>1988</v>
      </c>
      <c r="C286" s="127" t="s">
        <v>178</v>
      </c>
      <c r="D286" s="277">
        <f>LOOKUP(A286,'[3]PT'!$A$2:$A$725,'[3]PT'!$D$2:$D$725)</f>
        <v>21.0967</v>
      </c>
      <c r="E286" s="328">
        <v>2.31</v>
      </c>
      <c r="F286" s="324"/>
      <c r="G286" s="323"/>
      <c r="H286" s="302"/>
      <c r="L286" s="251">
        <v>3</v>
      </c>
      <c r="O286" s="326" t="e">
        <f>D286/#REF!</f>
        <v>#REF!</v>
      </c>
    </row>
    <row r="287" spans="1:15" ht="15" customHeight="1">
      <c r="A287" s="133" t="s">
        <v>1679</v>
      </c>
      <c r="B287" s="254" t="s">
        <v>1965</v>
      </c>
      <c r="C287" s="127" t="s">
        <v>178</v>
      </c>
      <c r="D287" s="277">
        <f>LOOKUP(A287,'[3]PT'!$A$2:$A$725,'[3]PT'!$D$2:$D$725)</f>
        <v>706.3933</v>
      </c>
      <c r="E287" s="328">
        <v>135.59</v>
      </c>
      <c r="F287" s="324"/>
      <c r="G287" s="323"/>
      <c r="H287" s="302"/>
      <c r="L287" s="251">
        <v>3</v>
      </c>
      <c r="O287" s="326" t="e">
        <f>D287/#REF!</f>
        <v>#REF!</v>
      </c>
    </row>
    <row r="288" spans="1:15" ht="15" customHeight="1">
      <c r="A288" s="133" t="s">
        <v>1682</v>
      </c>
      <c r="B288" s="254" t="s">
        <v>1943</v>
      </c>
      <c r="C288" s="127" t="s">
        <v>348</v>
      </c>
      <c r="D288" s="277">
        <f>LOOKUP(A288,'[3]PT'!$A$2:$A$725,'[3]PT'!$D$2:$D$725)</f>
        <v>17.1</v>
      </c>
      <c r="E288" s="328">
        <v>3.6825</v>
      </c>
      <c r="F288" s="357"/>
      <c r="G288" s="323"/>
      <c r="H288" s="302"/>
      <c r="J288" s="380" t="s">
        <v>1209</v>
      </c>
      <c r="L288" s="251">
        <v>2</v>
      </c>
      <c r="O288" s="326" t="e">
        <f>D288/#REF!</f>
        <v>#REF!</v>
      </c>
    </row>
    <row r="289" spans="1:15" ht="15" customHeight="1">
      <c r="A289" s="133" t="s">
        <v>1772</v>
      </c>
      <c r="B289" s="254" t="s">
        <v>1989</v>
      </c>
      <c r="C289" s="127" t="s">
        <v>348</v>
      </c>
      <c r="D289" s="277">
        <f>LOOKUP(A289,'[3]PT'!$A$2:$A$725,'[3]PT'!$D$2:$D$725)</f>
        <v>30.87</v>
      </c>
      <c r="E289" s="328">
        <v>3.73</v>
      </c>
      <c r="F289" s="324"/>
      <c r="G289" s="323"/>
      <c r="H289" s="302"/>
      <c r="I289" s="346" t="s">
        <v>1208</v>
      </c>
      <c r="J289" s="381" t="s">
        <v>1185</v>
      </c>
      <c r="L289" s="251">
        <v>3</v>
      </c>
      <c r="O289" s="326" t="e">
        <f>D289/#REF!</f>
        <v>#REF!</v>
      </c>
    </row>
    <row r="290" spans="1:15" ht="15" customHeight="1">
      <c r="A290" s="133" t="s">
        <v>1661</v>
      </c>
      <c r="B290" s="254" t="s">
        <v>1218</v>
      </c>
      <c r="C290" s="127" t="s">
        <v>1966</v>
      </c>
      <c r="D290" s="277">
        <f>LOOKUP(A290,'[3]PT'!$A$2:$A$725,'[3]PT'!$D$2:$D$725)</f>
        <v>7.59</v>
      </c>
      <c r="E290" s="328">
        <v>1.49</v>
      </c>
      <c r="F290" s="357"/>
      <c r="G290" s="323"/>
      <c r="H290" s="382" t="s">
        <v>1182</v>
      </c>
      <c r="I290" s="383">
        <v>25.894</v>
      </c>
      <c r="J290" s="384">
        <f>I290/30</f>
        <v>0.8631333333333333</v>
      </c>
      <c r="K290" s="286">
        <f>J290+J291</f>
        <v>1.7964666666666667</v>
      </c>
      <c r="L290" s="251">
        <v>1</v>
      </c>
      <c r="O290" s="326" t="e">
        <f>D290/#REF!</f>
        <v>#REF!</v>
      </c>
    </row>
    <row r="291" spans="1:15" ht="15" customHeight="1">
      <c r="A291" s="133" t="s">
        <v>1774</v>
      </c>
      <c r="B291" s="254" t="s">
        <v>1990</v>
      </c>
      <c r="C291" s="127" t="s">
        <v>348</v>
      </c>
      <c r="D291" s="277">
        <f>LOOKUP(A291,'[3]PT'!$A$2:$A$725,'[3]PT'!$D$2:$D$725)</f>
        <v>55.5367</v>
      </c>
      <c r="E291" s="328">
        <v>7.18</v>
      </c>
      <c r="F291" s="324"/>
      <c r="G291" s="323"/>
      <c r="H291" s="302" t="s">
        <v>1183</v>
      </c>
      <c r="I291" s="385">
        <v>14</v>
      </c>
      <c r="J291" s="384">
        <f>I291/15</f>
        <v>0.9333333333333333</v>
      </c>
      <c r="K291" s="386">
        <f>K290/1.21</f>
        <v>1.4846831955922866</v>
      </c>
      <c r="L291" s="251">
        <v>3</v>
      </c>
      <c r="O291" s="326" t="e">
        <f>D291/#REF!</f>
        <v>#REF!</v>
      </c>
    </row>
    <row r="292" spans="1:15" ht="15" customHeight="1">
      <c r="A292" s="133" t="s">
        <v>73</v>
      </c>
      <c r="B292" s="254" t="s">
        <v>1872</v>
      </c>
      <c r="C292" s="127" t="s">
        <v>348</v>
      </c>
      <c r="D292" s="277">
        <f>LOOKUP(A292,'[3]PT'!$A$2:$A$725,'[3]PT'!$D$2:$D$725)</f>
        <v>33.42</v>
      </c>
      <c r="E292" s="328">
        <v>4.32</v>
      </c>
      <c r="F292" s="324"/>
      <c r="G292" s="323"/>
      <c r="H292" s="302"/>
      <c r="L292" s="251">
        <v>3</v>
      </c>
      <c r="O292" s="326" t="e">
        <f>D292/#REF!</f>
        <v>#REF!</v>
      </c>
    </row>
    <row r="293" spans="1:15" ht="15" customHeight="1">
      <c r="A293" s="133" t="s">
        <v>74</v>
      </c>
      <c r="B293" s="254" t="s">
        <v>75</v>
      </c>
      <c r="C293" s="127" t="s">
        <v>348</v>
      </c>
      <c r="D293" s="277">
        <f>LOOKUP(A293,'[3]PT'!$A$2:$A$725,'[3]PT'!$D$2:$D$725)</f>
        <v>58.5033</v>
      </c>
      <c r="E293" s="328">
        <v>9.12</v>
      </c>
      <c r="F293" s="324"/>
      <c r="G293" s="323"/>
      <c r="H293" s="302"/>
      <c r="L293" s="251">
        <v>3</v>
      </c>
      <c r="O293" s="326" t="e">
        <f>D293/#REF!</f>
        <v>#REF!</v>
      </c>
    </row>
    <row r="294" spans="1:15" ht="15" customHeight="1">
      <c r="A294" s="133" t="s">
        <v>76</v>
      </c>
      <c r="B294" s="254" t="s">
        <v>77</v>
      </c>
      <c r="C294" s="127" t="s">
        <v>348</v>
      </c>
      <c r="D294" s="277">
        <f>LOOKUP(A294,'[3]PT'!$A$2:$A$725,'[3]PT'!$D$2:$D$725)</f>
        <v>29.4667</v>
      </c>
      <c r="E294" s="328">
        <v>3.33</v>
      </c>
      <c r="F294" s="324"/>
      <c r="G294" s="323"/>
      <c r="H294" s="302"/>
      <c r="L294" s="251">
        <v>3</v>
      </c>
      <c r="O294" s="326" t="e">
        <f>D294/#REF!</f>
        <v>#REF!</v>
      </c>
    </row>
    <row r="295" spans="1:15" ht="15" customHeight="1">
      <c r="A295" s="133" t="s">
        <v>1424</v>
      </c>
      <c r="B295" s="259" t="s">
        <v>1425</v>
      </c>
      <c r="C295" s="130" t="s">
        <v>178</v>
      </c>
      <c r="D295" s="277">
        <f>LOOKUP(A295,'[3]PT'!$A$2:$A$725,'[3]PT'!$D$2:$D$725)</f>
        <v>2.7833</v>
      </c>
      <c r="E295" s="328">
        <v>0.58</v>
      </c>
      <c r="F295" s="324"/>
      <c r="G295" s="323"/>
      <c r="H295" s="302"/>
      <c r="O295" s="326" t="e">
        <f>D295/#REF!</f>
        <v>#REF!</v>
      </c>
    </row>
    <row r="296" spans="1:15" ht="15" customHeight="1">
      <c r="A296" s="133" t="s">
        <v>79</v>
      </c>
      <c r="B296" s="254" t="s">
        <v>179</v>
      </c>
      <c r="C296" s="127" t="s">
        <v>178</v>
      </c>
      <c r="D296" s="277">
        <f>LOOKUP(A296,'[3]PT'!$A$2:$A$725,'[3]PT'!$D$2:$D$725)</f>
        <v>74.0519</v>
      </c>
      <c r="E296" s="328">
        <v>13.38</v>
      </c>
      <c r="F296" s="324"/>
      <c r="G296" s="323"/>
      <c r="H296" s="302" t="s">
        <v>1247</v>
      </c>
      <c r="L296" s="251">
        <v>1</v>
      </c>
      <c r="O296" s="326" t="e">
        <f>D296/#REF!</f>
        <v>#REF!</v>
      </c>
    </row>
    <row r="297" spans="1:15" ht="15" customHeight="1">
      <c r="A297" s="133" t="s">
        <v>149</v>
      </c>
      <c r="B297" s="254" t="s">
        <v>78</v>
      </c>
      <c r="C297" s="127" t="s">
        <v>178</v>
      </c>
      <c r="D297" s="277">
        <f>LOOKUP(A297,'[3]PT'!$A$2:$A$725,'[3]PT'!$D$2:$D$725)</f>
        <v>67.85</v>
      </c>
      <c r="E297" s="328">
        <v>13.88</v>
      </c>
      <c r="F297" s="324"/>
      <c r="G297" s="323"/>
      <c r="H297" s="302" t="s">
        <v>1247</v>
      </c>
      <c r="L297" s="251">
        <v>1</v>
      </c>
      <c r="O297" s="326" t="e">
        <f>D297/#REF!</f>
        <v>#REF!</v>
      </c>
    </row>
    <row r="298" spans="1:15" ht="15" customHeight="1">
      <c r="A298" s="133" t="s">
        <v>1790</v>
      </c>
      <c r="B298" s="254" t="s">
        <v>2009</v>
      </c>
      <c r="C298" s="127" t="s">
        <v>178</v>
      </c>
      <c r="D298" s="277">
        <f>LOOKUP(A298,'[3]PT'!$A$2:$A$725,'[3]PT'!$D$2:$D$725)</f>
        <v>159.505</v>
      </c>
      <c r="E298" s="356">
        <v>21.74</v>
      </c>
      <c r="F298" s="324"/>
      <c r="G298" s="323"/>
      <c r="H298" s="302" t="s">
        <v>1163</v>
      </c>
      <c r="L298" s="251">
        <v>2</v>
      </c>
      <c r="O298" s="326" t="e">
        <f>D298/#REF!</f>
        <v>#REF!</v>
      </c>
    </row>
    <row r="299" spans="1:15" ht="15" customHeight="1">
      <c r="A299" s="133" t="s">
        <v>1789</v>
      </c>
      <c r="B299" s="254" t="s">
        <v>2010</v>
      </c>
      <c r="C299" s="127" t="s">
        <v>178</v>
      </c>
      <c r="D299" s="277">
        <f>LOOKUP(A299,'[3]PT'!$A$2:$A$725,'[3]PT'!$D$2:$D$725)</f>
        <v>257.85</v>
      </c>
      <c r="E299" s="356">
        <v>34.36</v>
      </c>
      <c r="F299" s="324"/>
      <c r="G299" s="323"/>
      <c r="H299" s="302"/>
      <c r="L299" s="251">
        <v>2</v>
      </c>
      <c r="O299" s="326" t="e">
        <f>D299/#REF!</f>
        <v>#REF!</v>
      </c>
    </row>
    <row r="300" spans="1:15" ht="15" customHeight="1">
      <c r="A300" s="133" t="s">
        <v>153</v>
      </c>
      <c r="B300" s="254" t="s">
        <v>107</v>
      </c>
      <c r="C300" s="127" t="s">
        <v>1810</v>
      </c>
      <c r="D300" s="277">
        <f>LOOKUP(A300,'[3]PT'!$A$2:$A$725,'[3]PT'!$D$2:$D$725)</f>
        <v>6.4167</v>
      </c>
      <c r="E300" s="328">
        <v>0.83</v>
      </c>
      <c r="F300" s="324"/>
      <c r="G300" s="323"/>
      <c r="H300" s="302" t="s">
        <v>1236</v>
      </c>
      <c r="L300" s="251">
        <v>2</v>
      </c>
      <c r="O300" s="326" t="e">
        <f>D300/#REF!</f>
        <v>#REF!</v>
      </c>
    </row>
    <row r="301" spans="1:15" ht="15" customHeight="1">
      <c r="A301" s="233" t="s">
        <v>155</v>
      </c>
      <c r="B301" s="259" t="s">
        <v>108</v>
      </c>
      <c r="C301" s="130" t="s">
        <v>1810</v>
      </c>
      <c r="D301" s="277">
        <f>LOOKUP(A301,'[3]PT'!$A$2:$A$725,'[3]PT'!$D$2:$D$725)</f>
        <v>26.2382</v>
      </c>
      <c r="E301" s="328">
        <v>3.84</v>
      </c>
      <c r="F301" s="324"/>
      <c r="G301" s="323"/>
      <c r="H301" s="302" t="s">
        <v>1236</v>
      </c>
      <c r="L301" s="251">
        <v>1</v>
      </c>
      <c r="O301" s="326" t="e">
        <f>D301/#REF!</f>
        <v>#REF!</v>
      </c>
    </row>
    <row r="302" spans="1:15" ht="15" customHeight="1">
      <c r="A302" s="233" t="s">
        <v>156</v>
      </c>
      <c r="B302" s="259" t="s">
        <v>109</v>
      </c>
      <c r="C302" s="130" t="s">
        <v>1810</v>
      </c>
      <c r="D302" s="277">
        <f>LOOKUP(A302,'[3]PT'!$A$2:$A$725,'[3]PT'!$D$2:$D$725)</f>
        <v>43.6579</v>
      </c>
      <c r="E302" s="328">
        <v>5.46</v>
      </c>
      <c r="F302" s="324"/>
      <c r="G302" s="323"/>
      <c r="H302" s="302" t="s">
        <v>1236</v>
      </c>
      <c r="L302" s="251">
        <v>1</v>
      </c>
      <c r="O302" s="326" t="e">
        <f>D302/#REF!</f>
        <v>#REF!</v>
      </c>
    </row>
    <row r="303" spans="1:15" ht="15" customHeight="1">
      <c r="A303" s="233" t="s">
        <v>157</v>
      </c>
      <c r="B303" s="259" t="s">
        <v>110</v>
      </c>
      <c r="C303" s="130" t="s">
        <v>178</v>
      </c>
      <c r="D303" s="277">
        <f>LOOKUP(A303,'[3]PT'!$A$2:$A$725,'[3]PT'!$D$2:$D$725)</f>
        <v>47.8239</v>
      </c>
      <c r="E303" s="328">
        <v>25.71</v>
      </c>
      <c r="F303" s="324"/>
      <c r="G303" s="323"/>
      <c r="H303" s="302" t="s">
        <v>1236</v>
      </c>
      <c r="L303" s="251">
        <v>1</v>
      </c>
      <c r="O303" s="326" t="e">
        <f>D303/#REF!</f>
        <v>#REF!</v>
      </c>
    </row>
    <row r="304" spans="1:15" ht="15" customHeight="1">
      <c r="A304" s="233" t="s">
        <v>159</v>
      </c>
      <c r="B304" s="259" t="s">
        <v>111</v>
      </c>
      <c r="C304" s="130" t="s">
        <v>178</v>
      </c>
      <c r="D304" s="277">
        <f>LOOKUP(A304,'[3]PT'!$A$2:$A$725,'[3]PT'!$D$2:$D$725)</f>
        <v>72.0756</v>
      </c>
      <c r="E304" s="328">
        <v>39.01</v>
      </c>
      <c r="F304" s="324"/>
      <c r="G304" s="323"/>
      <c r="H304" s="302" t="s">
        <v>1236</v>
      </c>
      <c r="L304" s="251">
        <v>1</v>
      </c>
      <c r="O304" s="326" t="e">
        <f>D304/#REF!</f>
        <v>#REF!</v>
      </c>
    </row>
    <row r="305" spans="1:15" ht="15" customHeight="1">
      <c r="A305" s="233" t="s">
        <v>160</v>
      </c>
      <c r="B305" s="259" t="s">
        <v>112</v>
      </c>
      <c r="C305" s="130" t="s">
        <v>178</v>
      </c>
      <c r="D305" s="277">
        <f>LOOKUP(A305,'[3]PT'!$A$2:$A$725,'[3]PT'!$D$2:$D$725)</f>
        <v>183.7501</v>
      </c>
      <c r="E305" s="328">
        <v>66.88</v>
      </c>
      <c r="F305" s="324"/>
      <c r="G305" s="323"/>
      <c r="H305" s="302" t="s">
        <v>1236</v>
      </c>
      <c r="O305" s="326" t="e">
        <f>D305/#REF!</f>
        <v>#REF!</v>
      </c>
    </row>
    <row r="306" spans="1:15" ht="15" customHeight="1">
      <c r="A306" s="133" t="s">
        <v>163</v>
      </c>
      <c r="B306" s="254" t="s">
        <v>113</v>
      </c>
      <c r="C306" s="127" t="s">
        <v>178</v>
      </c>
      <c r="D306" s="277">
        <f>LOOKUP(A306,'[3]PT'!$A$2:$A$725,'[3]PT'!$D$2:$D$725)</f>
        <v>1507.17</v>
      </c>
      <c r="E306" s="328">
        <v>514.47</v>
      </c>
      <c r="F306" s="324"/>
      <c r="G306" s="323"/>
      <c r="H306" s="302" t="s">
        <v>1236</v>
      </c>
      <c r="L306" s="251">
        <v>1</v>
      </c>
      <c r="O306" s="326" t="e">
        <f>D306/#REF!</f>
        <v>#REF!</v>
      </c>
    </row>
    <row r="307" spans="1:15" ht="15" customHeight="1">
      <c r="A307" s="133" t="s">
        <v>198</v>
      </c>
      <c r="B307" s="254" t="s">
        <v>114</v>
      </c>
      <c r="C307" s="127" t="s">
        <v>178</v>
      </c>
      <c r="D307" s="277">
        <f>LOOKUP(A307,'[3]PT'!$A$2:$A$725,'[3]PT'!$D$2:$D$725)</f>
        <v>134.74</v>
      </c>
      <c r="E307" s="328">
        <v>17.5772</v>
      </c>
      <c r="F307" s="324"/>
      <c r="G307" s="323"/>
      <c r="H307" s="302" t="s">
        <v>1236</v>
      </c>
      <c r="L307" s="251">
        <v>2</v>
      </c>
      <c r="O307" s="326" t="e">
        <f>D307/#REF!</f>
        <v>#REF!</v>
      </c>
    </row>
    <row r="308" spans="1:15" ht="15" customHeight="1">
      <c r="A308" s="133" t="s">
        <v>151</v>
      </c>
      <c r="B308" s="254" t="s">
        <v>106</v>
      </c>
      <c r="C308" s="127" t="s">
        <v>178</v>
      </c>
      <c r="D308" s="277">
        <f>LOOKUP(A308,'[3]PT'!$A$2:$A$725,'[3]PT'!$D$2:$D$725)</f>
        <v>842.05</v>
      </c>
      <c r="E308" s="328">
        <v>361.75</v>
      </c>
      <c r="F308" s="324"/>
      <c r="G308" s="323"/>
      <c r="H308" s="302" t="s">
        <v>1236</v>
      </c>
      <c r="L308" s="251">
        <v>1</v>
      </c>
      <c r="O308" s="326" t="e">
        <f>D308/#REF!</f>
        <v>#REF!</v>
      </c>
    </row>
    <row r="309" spans="1:15" ht="15" customHeight="1">
      <c r="A309" s="213" t="s">
        <v>2026</v>
      </c>
      <c r="B309" s="254" t="s">
        <v>88</v>
      </c>
      <c r="C309" s="127" t="s">
        <v>1810</v>
      </c>
      <c r="D309" s="277">
        <f>LOOKUP(A309,'[3]PT'!$A$2:$A$725,'[3]PT'!$D$2:$D$725)</f>
        <v>102.0977</v>
      </c>
      <c r="E309" s="328">
        <v>14.49</v>
      </c>
      <c r="F309" s="324"/>
      <c r="G309" s="323"/>
      <c r="H309" s="302" t="s">
        <v>1236</v>
      </c>
      <c r="L309" s="251">
        <v>1</v>
      </c>
      <c r="O309" s="326" t="e">
        <f>D309/#REF!</f>
        <v>#REF!</v>
      </c>
    </row>
    <row r="310" spans="1:15" ht="15" customHeight="1">
      <c r="A310" s="133" t="s">
        <v>298</v>
      </c>
      <c r="B310" s="254" t="s">
        <v>281</v>
      </c>
      <c r="C310" s="127" t="s">
        <v>178</v>
      </c>
      <c r="D310" s="277">
        <f>LOOKUP(A310,'[3]PT'!$A$2:$A$725,'[3]PT'!$D$2:$D$725)</f>
        <v>4275.4955</v>
      </c>
      <c r="E310" s="328">
        <v>179</v>
      </c>
      <c r="F310" s="324"/>
      <c r="G310" s="323"/>
      <c r="H310" s="302" t="s">
        <v>1164</v>
      </c>
      <c r="L310" s="251">
        <v>1</v>
      </c>
      <c r="O310" s="326" t="e">
        <f>D310/#REF!</f>
        <v>#REF!</v>
      </c>
    </row>
    <row r="311" spans="1:15" ht="15" customHeight="1">
      <c r="A311" s="133" t="s">
        <v>299</v>
      </c>
      <c r="B311" s="254" t="s">
        <v>321</v>
      </c>
      <c r="C311" s="127" t="s">
        <v>178</v>
      </c>
      <c r="D311" s="277">
        <f>LOOKUP(A311,'[3]PT'!$A$2:$A$725,'[3]PT'!$D$2:$D$725)</f>
        <v>4179.9612</v>
      </c>
      <c r="E311" s="328">
        <v>158</v>
      </c>
      <c r="F311" s="324"/>
      <c r="G311" s="323"/>
      <c r="H311" s="302"/>
      <c r="L311" s="251">
        <v>1</v>
      </c>
      <c r="O311" s="326" t="e">
        <f>D311/#REF!</f>
        <v>#REF!</v>
      </c>
    </row>
    <row r="312" spans="1:15" ht="15" customHeight="1">
      <c r="A312" s="133" t="s">
        <v>300</v>
      </c>
      <c r="B312" s="254" t="s">
        <v>287</v>
      </c>
      <c r="C312" s="127" t="s">
        <v>178</v>
      </c>
      <c r="D312" s="277">
        <f>LOOKUP(A312,'[3]PT'!$A$2:$A$725,'[3]PT'!$D$2:$D$725)</f>
        <v>16460.3798</v>
      </c>
      <c r="E312" s="328">
        <v>1120</v>
      </c>
      <c r="F312" s="324"/>
      <c r="G312" s="323"/>
      <c r="H312" s="302"/>
      <c r="L312" s="251">
        <v>1</v>
      </c>
      <c r="O312" s="326" t="e">
        <f>D312/#REF!</f>
        <v>#REF!</v>
      </c>
    </row>
    <row r="313" spans="1:15" ht="15" customHeight="1">
      <c r="A313" s="133" t="s">
        <v>301</v>
      </c>
      <c r="B313" s="254" t="s">
        <v>290</v>
      </c>
      <c r="C313" s="127" t="s">
        <v>178</v>
      </c>
      <c r="D313" s="277">
        <f>LOOKUP(A313,'[3]PT'!$A$2:$A$725,'[3]PT'!$D$2:$D$725)</f>
        <v>14322.7125</v>
      </c>
      <c r="E313" s="328">
        <v>858</v>
      </c>
      <c r="F313" s="324"/>
      <c r="G313" s="323"/>
      <c r="H313" s="302"/>
      <c r="L313" s="251">
        <v>1</v>
      </c>
      <c r="O313" s="326" t="e">
        <f>D313/#REF!</f>
        <v>#REF!</v>
      </c>
    </row>
    <row r="314" spans="1:15" ht="15" customHeight="1">
      <c r="A314" s="213" t="s">
        <v>868</v>
      </c>
      <c r="B314" s="254" t="s">
        <v>308</v>
      </c>
      <c r="C314" s="127" t="s">
        <v>178</v>
      </c>
      <c r="D314" s="277">
        <f>LOOKUP(A314,'[3]PT'!$A$2:$A$725,'[3]PT'!$D$2:$D$725)</f>
        <v>305</v>
      </c>
      <c r="E314" s="328">
        <v>198</v>
      </c>
      <c r="F314" s="324"/>
      <c r="G314" s="323"/>
      <c r="H314" s="302"/>
      <c r="L314" s="251">
        <v>1</v>
      </c>
      <c r="O314" s="326" t="e">
        <f>D314/#REF!</f>
        <v>#REF!</v>
      </c>
    </row>
    <row r="315" spans="1:15" ht="15" customHeight="1">
      <c r="A315" s="213" t="s">
        <v>871</v>
      </c>
      <c r="B315" s="254" t="s">
        <v>282</v>
      </c>
      <c r="C315" s="127" t="s">
        <v>178</v>
      </c>
      <c r="D315" s="277">
        <f>LOOKUP(A315,'[3]PT'!$A$2:$A$725,'[3]PT'!$D$2:$D$725)</f>
        <v>633.7462</v>
      </c>
      <c r="E315" s="328">
        <v>252</v>
      </c>
      <c r="F315" s="324"/>
      <c r="G315" s="352"/>
      <c r="H315" s="302" t="s">
        <v>1210</v>
      </c>
      <c r="K315" s="286"/>
      <c r="L315" s="251">
        <v>2</v>
      </c>
      <c r="O315" s="326" t="e">
        <f>D315/#REF!</f>
        <v>#REF!</v>
      </c>
    </row>
    <row r="316" spans="1:15" ht="15" customHeight="1">
      <c r="A316" s="213" t="s">
        <v>872</v>
      </c>
      <c r="B316" s="254" t="s">
        <v>283</v>
      </c>
      <c r="C316" s="127" t="s">
        <v>1810</v>
      </c>
      <c r="D316" s="277">
        <f>LOOKUP(A316,'[3]PT'!$A$2:$A$725,'[3]PT'!$D$2:$D$725)</f>
        <v>93.015</v>
      </c>
      <c r="E316" s="328">
        <v>8.876</v>
      </c>
      <c r="F316" s="324"/>
      <c r="G316" s="352"/>
      <c r="H316" s="302"/>
      <c r="K316" s="286"/>
      <c r="L316" s="251">
        <v>2</v>
      </c>
      <c r="O316" s="326" t="e">
        <f>D316/#REF!</f>
        <v>#REF!</v>
      </c>
    </row>
    <row r="317" spans="1:15" ht="15" customHeight="1">
      <c r="A317" s="213" t="s">
        <v>873</v>
      </c>
      <c r="B317" s="254" t="s">
        <v>293</v>
      </c>
      <c r="C317" s="127" t="s">
        <v>1810</v>
      </c>
      <c r="D317" s="277">
        <f>LOOKUP(A317,'[3]PT'!$A$2:$A$725,'[3]PT'!$D$2:$D$725)</f>
        <v>28.815</v>
      </c>
      <c r="E317" s="328">
        <v>2.843</v>
      </c>
      <c r="F317" s="324"/>
      <c r="G317" s="352"/>
      <c r="H317" s="302"/>
      <c r="K317" s="286"/>
      <c r="L317" s="251">
        <v>2</v>
      </c>
      <c r="O317" s="326" t="e">
        <f>D317/#REF!</f>
        <v>#REF!</v>
      </c>
    </row>
    <row r="318" spans="1:15" ht="15" customHeight="1">
      <c r="A318" s="213" t="s">
        <v>874</v>
      </c>
      <c r="B318" s="254" t="s">
        <v>307</v>
      </c>
      <c r="C318" s="127" t="s">
        <v>1810</v>
      </c>
      <c r="D318" s="277">
        <f>LOOKUP(A318,'[3]PT'!$A$2:$A$725,'[3]PT'!$D$2:$D$725)</f>
        <v>15.26</v>
      </c>
      <c r="E318" s="328">
        <v>2.2314</v>
      </c>
      <c r="F318" s="324"/>
      <c r="G318" s="352"/>
      <c r="H318" s="302"/>
      <c r="K318" s="286"/>
      <c r="L318" s="251">
        <v>2</v>
      </c>
      <c r="O318" s="326" t="e">
        <f>D318/#REF!</f>
        <v>#REF!</v>
      </c>
    </row>
    <row r="319" spans="1:15" ht="15" customHeight="1">
      <c r="A319" s="213" t="s">
        <v>875</v>
      </c>
      <c r="B319" s="254" t="s">
        <v>322</v>
      </c>
      <c r="C319" s="127" t="s">
        <v>1810</v>
      </c>
      <c r="D319" s="277">
        <f>LOOKUP(A319,'[3]PT'!$A$2:$A$725,'[3]PT'!$D$2:$D$725)</f>
        <v>90.5526</v>
      </c>
      <c r="E319" s="328">
        <v>16.4463</v>
      </c>
      <c r="F319" s="324"/>
      <c r="G319" s="352"/>
      <c r="H319" s="302"/>
      <c r="K319" s="286"/>
      <c r="L319" s="251">
        <v>2</v>
      </c>
      <c r="O319" s="326" t="e">
        <f>D319/#REF!</f>
        <v>#REF!</v>
      </c>
    </row>
    <row r="320" spans="1:15" ht="15" customHeight="1">
      <c r="A320" s="213" t="s">
        <v>876</v>
      </c>
      <c r="B320" s="254" t="s">
        <v>309</v>
      </c>
      <c r="C320" s="127" t="s">
        <v>1810</v>
      </c>
      <c r="D320" s="277">
        <f>LOOKUP(A320,'[3]PT'!$A$2:$A$725,'[3]PT'!$D$2:$D$725)</f>
        <v>60.7104</v>
      </c>
      <c r="E320" s="328">
        <v>7.7521</v>
      </c>
      <c r="F320" s="324"/>
      <c r="G320" s="352"/>
      <c r="H320" s="302"/>
      <c r="K320" s="286"/>
      <c r="L320" s="251">
        <v>2</v>
      </c>
      <c r="O320" s="326" t="e">
        <f>D320/#REF!</f>
        <v>#REF!</v>
      </c>
    </row>
    <row r="321" spans="1:15" ht="15" customHeight="1">
      <c r="A321" s="213" t="s">
        <v>877</v>
      </c>
      <c r="B321" s="254" t="s">
        <v>294</v>
      </c>
      <c r="C321" s="127" t="s">
        <v>178</v>
      </c>
      <c r="D321" s="277">
        <f>LOOKUP(A321,'[3]PT'!$A$2:$A$725,'[3]PT'!$D$2:$D$725)</f>
        <v>72.1572</v>
      </c>
      <c r="E321" s="328">
        <v>8.9339</v>
      </c>
      <c r="F321" s="324"/>
      <c r="G321" s="352"/>
      <c r="H321" s="302"/>
      <c r="K321" s="286"/>
      <c r="L321" s="251">
        <v>2</v>
      </c>
      <c r="O321" s="326" t="e">
        <f>D321/#REF!</f>
        <v>#REF!</v>
      </c>
    </row>
    <row r="322" spans="1:15" ht="15" customHeight="1">
      <c r="A322" s="133" t="s">
        <v>302</v>
      </c>
      <c r="B322" s="254" t="s">
        <v>284</v>
      </c>
      <c r="C322" s="127" t="s">
        <v>178</v>
      </c>
      <c r="D322" s="277">
        <f>LOOKUP(A322,'[3]PT'!$A$2:$A$725,'[3]PT'!$D$2:$D$725)</f>
        <v>101720.325</v>
      </c>
      <c r="E322" s="328">
        <v>10000</v>
      </c>
      <c r="F322" s="324"/>
      <c r="G322" s="323"/>
      <c r="H322" s="325" t="s">
        <v>1258</v>
      </c>
      <c r="L322" s="251">
        <v>1</v>
      </c>
      <c r="O322" s="326" t="e">
        <f>D322/#REF!</f>
        <v>#REF!</v>
      </c>
    </row>
    <row r="323" spans="1:15" ht="15" customHeight="1">
      <c r="A323" s="133" t="s">
        <v>303</v>
      </c>
      <c r="B323" s="254" t="s">
        <v>297</v>
      </c>
      <c r="C323" s="127" t="s">
        <v>178</v>
      </c>
      <c r="D323" s="277">
        <f>LOOKUP(A323,'[3]PT'!$A$2:$A$725,'[3]PT'!$D$2:$D$725)</f>
        <v>2534.84</v>
      </c>
      <c r="E323" s="328">
        <v>277.4</v>
      </c>
      <c r="F323" s="357"/>
      <c r="G323" s="323"/>
      <c r="H323" s="302" t="s">
        <v>1257</v>
      </c>
      <c r="L323" s="251">
        <v>1</v>
      </c>
      <c r="O323" s="326" t="e">
        <f>D323/#REF!</f>
        <v>#REF!</v>
      </c>
    </row>
    <row r="324" spans="1:15" ht="15" customHeight="1">
      <c r="A324" s="213" t="s">
        <v>878</v>
      </c>
      <c r="B324" s="254" t="s">
        <v>310</v>
      </c>
      <c r="C324" s="127" t="s">
        <v>178</v>
      </c>
      <c r="D324" s="277">
        <f>LOOKUP(A324,'[3]PT'!$A$2:$A$725,'[3]PT'!$D$2:$D$725)</f>
        <v>172.81</v>
      </c>
      <c r="E324" s="328">
        <v>49.7273</v>
      </c>
      <c r="F324" s="324"/>
      <c r="G324" s="352"/>
      <c r="H324" s="302" t="s">
        <v>1222</v>
      </c>
      <c r="L324" s="251">
        <v>2</v>
      </c>
      <c r="O324" s="326" t="e">
        <f>D324/#REF!</f>
        <v>#REF!</v>
      </c>
    </row>
    <row r="325" spans="1:15" ht="15" customHeight="1">
      <c r="A325" s="213" t="s">
        <v>879</v>
      </c>
      <c r="B325" s="254" t="s">
        <v>288</v>
      </c>
      <c r="C325" s="127" t="s">
        <v>178</v>
      </c>
      <c r="D325" s="277">
        <f>LOOKUP(A325,'[3]PT'!$A$2:$A$725,'[3]PT'!$D$2:$D$725)</f>
        <v>1013.516</v>
      </c>
      <c r="E325" s="328">
        <v>156.1157</v>
      </c>
      <c r="F325" s="324"/>
      <c r="G325" s="352"/>
      <c r="H325" s="302"/>
      <c r="L325" s="251">
        <v>2</v>
      </c>
      <c r="O325" s="326" t="e">
        <f>D325/#REF!</f>
        <v>#REF!</v>
      </c>
    </row>
    <row r="326" spans="1:15" ht="15" customHeight="1">
      <c r="A326" s="213" t="s">
        <v>880</v>
      </c>
      <c r="B326" s="254" t="s">
        <v>311</v>
      </c>
      <c r="C326" s="127" t="s">
        <v>178</v>
      </c>
      <c r="D326" s="277">
        <f>LOOKUP(A326,'[3]PT'!$A$2:$A$725,'[3]PT'!$D$2:$D$725)</f>
        <v>159.04</v>
      </c>
      <c r="E326" s="328">
        <v>12.5207</v>
      </c>
      <c r="F326" s="324"/>
      <c r="G326" s="352"/>
      <c r="H326" s="302"/>
      <c r="L326" s="251">
        <v>2</v>
      </c>
      <c r="O326" s="326" t="e">
        <f>D326/#REF!</f>
        <v>#REF!</v>
      </c>
    </row>
    <row r="327" spans="1:15" ht="15" customHeight="1">
      <c r="A327" s="133" t="s">
        <v>1368</v>
      </c>
      <c r="B327" s="254" t="s">
        <v>323</v>
      </c>
      <c r="C327" s="127" t="s">
        <v>178</v>
      </c>
      <c r="D327" s="277">
        <f>LOOKUP(A327,'[3]PT'!$A$2:$A$725,'[3]PT'!$D$2:$D$725)</f>
        <v>159.04</v>
      </c>
      <c r="E327" s="328">
        <v>49.2975</v>
      </c>
      <c r="F327" s="324"/>
      <c r="G327" s="352"/>
      <c r="H327" s="302"/>
      <c r="L327" s="251">
        <v>2</v>
      </c>
      <c r="O327" s="326" t="e">
        <f>D327/#REF!</f>
        <v>#REF!</v>
      </c>
    </row>
    <row r="328" spans="1:15" ht="15" customHeight="1">
      <c r="A328" s="213" t="s">
        <v>881</v>
      </c>
      <c r="B328" s="254" t="s">
        <v>312</v>
      </c>
      <c r="C328" s="127" t="s">
        <v>178</v>
      </c>
      <c r="D328" s="277">
        <f>LOOKUP(A328,'[3]PT'!$A$2:$A$725,'[3]PT'!$D$2:$D$725)</f>
        <v>2051.86</v>
      </c>
      <c r="E328" s="328">
        <v>114.7521</v>
      </c>
      <c r="F328" s="324"/>
      <c r="G328" s="352"/>
      <c r="H328" s="302"/>
      <c r="L328" s="251">
        <v>2</v>
      </c>
      <c r="O328" s="326" t="e">
        <f>D328/#REF!</f>
        <v>#REF!</v>
      </c>
    </row>
    <row r="329" spans="1:15" ht="15" customHeight="1">
      <c r="A329" s="213" t="s">
        <v>882</v>
      </c>
      <c r="B329" s="254" t="s">
        <v>313</v>
      </c>
      <c r="C329" s="127" t="s">
        <v>178</v>
      </c>
      <c r="D329" s="277">
        <f>LOOKUP(A329,'[3]PT'!$A$2:$A$725,'[3]PT'!$D$2:$D$725)</f>
        <v>1890.2732</v>
      </c>
      <c r="E329" s="328">
        <v>156.2562</v>
      </c>
      <c r="F329" s="324"/>
      <c r="G329" s="352"/>
      <c r="H329" s="302"/>
      <c r="L329" s="251">
        <v>2</v>
      </c>
      <c r="O329" s="326" t="e">
        <f>D329/#REF!</f>
        <v>#REF!</v>
      </c>
    </row>
    <row r="330" spans="1:15" ht="15" customHeight="1">
      <c r="A330" s="213" t="s">
        <v>884</v>
      </c>
      <c r="B330" s="254" t="s">
        <v>291</v>
      </c>
      <c r="C330" s="127" t="s">
        <v>178</v>
      </c>
      <c r="D330" s="277">
        <f>LOOKUP(A330,'[3]PT'!$A$2:$A$725,'[3]PT'!$D$2:$D$725)</f>
        <v>658.62</v>
      </c>
      <c r="E330" s="328">
        <v>21.3719</v>
      </c>
      <c r="F330" s="324"/>
      <c r="G330" s="352"/>
      <c r="H330" s="302"/>
      <c r="L330" s="251">
        <v>2</v>
      </c>
      <c r="O330" s="326" t="e">
        <f>D330/#REF!</f>
        <v>#REF!</v>
      </c>
    </row>
    <row r="331" spans="1:15" ht="15" customHeight="1">
      <c r="A331" s="213" t="s">
        <v>885</v>
      </c>
      <c r="B331" s="254" t="s">
        <v>292</v>
      </c>
      <c r="C331" s="127" t="s">
        <v>178</v>
      </c>
      <c r="D331" s="277">
        <f>LOOKUP(A331,'[3]PT'!$A$2:$A$725,'[3]PT'!$D$2:$D$725)</f>
        <v>1270.4863</v>
      </c>
      <c r="E331" s="328">
        <v>9.4876</v>
      </c>
      <c r="F331" s="324"/>
      <c r="G331" s="352"/>
      <c r="H331" s="302"/>
      <c r="L331" s="251">
        <v>2</v>
      </c>
      <c r="O331" s="326" t="e">
        <f>D331/#REF!</f>
        <v>#REF!</v>
      </c>
    </row>
    <row r="332" spans="1:15" ht="15" customHeight="1">
      <c r="A332" s="133" t="s">
        <v>304</v>
      </c>
      <c r="B332" s="254" t="s">
        <v>320</v>
      </c>
      <c r="C332" s="127" t="s">
        <v>347</v>
      </c>
      <c r="D332" s="277">
        <f>LOOKUP(A332,'[3]PT'!$A$2:$A$725,'[3]PT'!$D$2:$D$725)</f>
        <v>14.8466</v>
      </c>
      <c r="E332" s="328">
        <v>3.39</v>
      </c>
      <c r="F332" s="324"/>
      <c r="G332" s="352"/>
      <c r="H332" s="302"/>
      <c r="L332" s="251">
        <v>2</v>
      </c>
      <c r="O332" s="326" t="e">
        <f>D332/#REF!</f>
        <v>#REF!</v>
      </c>
    </row>
    <row r="333" spans="1:15" ht="15" customHeight="1">
      <c r="A333" s="133" t="s">
        <v>195</v>
      </c>
      <c r="B333" s="254" t="s">
        <v>220</v>
      </c>
      <c r="C333" s="127" t="s">
        <v>178</v>
      </c>
      <c r="D333" s="277">
        <f>LOOKUP(A333,'[3]PT'!$A$2:$A$725,'[3]PT'!$D$2:$D$725)</f>
        <v>57.96</v>
      </c>
      <c r="E333" s="328">
        <v>18.9008</v>
      </c>
      <c r="F333" s="324"/>
      <c r="G333" s="323"/>
      <c r="H333" s="302"/>
      <c r="L333" s="251">
        <v>1</v>
      </c>
      <c r="O333" s="326" t="e">
        <f>D333/#REF!</f>
        <v>#REF!</v>
      </c>
    </row>
    <row r="334" spans="1:15" ht="15" customHeight="1">
      <c r="A334" s="133" t="s">
        <v>221</v>
      </c>
      <c r="B334" s="254" t="s">
        <v>222</v>
      </c>
      <c r="C334" s="127" t="s">
        <v>178</v>
      </c>
      <c r="D334" s="277">
        <f>LOOKUP(A334,'[3]PT'!$A$2:$A$725,'[3]PT'!$D$2:$D$725)</f>
        <v>57.96</v>
      </c>
      <c r="E334" s="328">
        <v>18.9008</v>
      </c>
      <c r="F334" s="324"/>
      <c r="G334" s="323"/>
      <c r="H334" s="302"/>
      <c r="L334" s="251">
        <v>1</v>
      </c>
      <c r="O334" s="326" t="e">
        <f>D334/#REF!</f>
        <v>#REF!</v>
      </c>
    </row>
    <row r="335" spans="1:15" ht="15" customHeight="1">
      <c r="A335" s="133" t="s">
        <v>150</v>
      </c>
      <c r="B335" s="254" t="s">
        <v>99</v>
      </c>
      <c r="C335" s="127" t="s">
        <v>1810</v>
      </c>
      <c r="D335" s="277">
        <f>LOOKUP(A335,'[3]PT'!$A$2:$A$725,'[3]PT'!$D$2:$D$725)</f>
        <v>6.7834</v>
      </c>
      <c r="E335" s="328">
        <v>1.3554</v>
      </c>
      <c r="F335" s="324"/>
      <c r="G335" s="323"/>
      <c r="H335" s="302"/>
      <c r="L335" s="251">
        <v>1</v>
      </c>
      <c r="O335" s="326" t="e">
        <f>D335/#REF!</f>
        <v>#REF!</v>
      </c>
    </row>
    <row r="336" spans="1:15" ht="15" customHeight="1">
      <c r="A336" s="133" t="s">
        <v>152</v>
      </c>
      <c r="B336" s="254" t="s">
        <v>100</v>
      </c>
      <c r="C336" s="127" t="s">
        <v>1810</v>
      </c>
      <c r="D336" s="277">
        <f>LOOKUP(A336,'[3]PT'!$A$2:$A$725,'[3]PT'!$D$2:$D$725)</f>
        <v>27.5</v>
      </c>
      <c r="E336" s="328">
        <v>5.1322</v>
      </c>
      <c r="F336" s="324"/>
      <c r="G336" s="323"/>
      <c r="H336" s="302"/>
      <c r="L336" s="251">
        <v>1</v>
      </c>
      <c r="O336" s="326" t="e">
        <f>D336/#REF!</f>
        <v>#REF!</v>
      </c>
    </row>
    <row r="337" spans="1:15" ht="15" customHeight="1">
      <c r="A337" s="133" t="s">
        <v>154</v>
      </c>
      <c r="B337" s="254" t="s">
        <v>101</v>
      </c>
      <c r="C337" s="127" t="s">
        <v>1810</v>
      </c>
      <c r="D337" s="277">
        <f>LOOKUP(A337,'[3]PT'!$A$2:$A$725,'[3]PT'!$D$2:$D$725)</f>
        <v>43.74</v>
      </c>
      <c r="E337" s="328">
        <v>8.0992</v>
      </c>
      <c r="F337" s="324"/>
      <c r="G337" s="323"/>
      <c r="H337" s="302"/>
      <c r="L337" s="251">
        <v>1</v>
      </c>
      <c r="O337" s="326" t="e">
        <f>D337/#REF!</f>
        <v>#REF!</v>
      </c>
    </row>
    <row r="338" spans="1:15" ht="15" customHeight="1">
      <c r="A338" s="133" t="s">
        <v>158</v>
      </c>
      <c r="B338" s="254" t="s">
        <v>102</v>
      </c>
      <c r="C338" s="127" t="s">
        <v>178</v>
      </c>
      <c r="D338" s="277">
        <f>LOOKUP(A338,'[3]PT'!$A$2:$A$725,'[3]PT'!$D$2:$D$725)</f>
        <v>43.74</v>
      </c>
      <c r="E338" s="328">
        <v>91.876</v>
      </c>
      <c r="F338" s="324"/>
      <c r="G338" s="323"/>
      <c r="H338" s="302"/>
      <c r="L338" s="251">
        <v>1</v>
      </c>
      <c r="O338" s="326" t="e">
        <f>D338/#REF!</f>
        <v>#REF!</v>
      </c>
    </row>
    <row r="339" spans="1:15" ht="15" customHeight="1">
      <c r="A339" s="133" t="s">
        <v>1317</v>
      </c>
      <c r="B339" s="254" t="s">
        <v>103</v>
      </c>
      <c r="C339" s="127" t="s">
        <v>178</v>
      </c>
      <c r="D339" s="277">
        <f>LOOKUP(A339,'[3]PT'!$A$2:$A$725,'[3]PT'!$D$2:$D$725)</f>
        <v>161</v>
      </c>
      <c r="E339" s="328">
        <v>77.3967</v>
      </c>
      <c r="F339" s="324"/>
      <c r="G339" s="323"/>
      <c r="H339" s="302"/>
      <c r="L339" s="251">
        <v>1</v>
      </c>
      <c r="O339" s="326" t="e">
        <f>D339/#REF!</f>
        <v>#REF!</v>
      </c>
    </row>
    <row r="340" spans="1:15" ht="15" customHeight="1">
      <c r="A340" s="133" t="s">
        <v>161</v>
      </c>
      <c r="B340" s="254" t="s">
        <v>104</v>
      </c>
      <c r="C340" s="127" t="s">
        <v>178</v>
      </c>
      <c r="D340" s="277">
        <f>LOOKUP(A340,'[3]PT'!$A$2:$A$725,'[3]PT'!$D$2:$D$725)</f>
        <v>127.05</v>
      </c>
      <c r="E340" s="328">
        <v>40.5041</v>
      </c>
      <c r="F340" s="324"/>
      <c r="G340" s="323"/>
      <c r="H340" s="302"/>
      <c r="L340" s="251">
        <v>1</v>
      </c>
      <c r="O340" s="326" t="e">
        <f>D340/#REF!</f>
        <v>#REF!</v>
      </c>
    </row>
    <row r="341" spans="1:15" ht="15" customHeight="1">
      <c r="A341" s="133" t="s">
        <v>162</v>
      </c>
      <c r="B341" s="254" t="s">
        <v>105</v>
      </c>
      <c r="C341" s="127" t="s">
        <v>178</v>
      </c>
      <c r="D341" s="277">
        <f>LOOKUP(A341,'[3]PT'!$A$2:$A$725,'[3]PT'!$D$2:$D$725)</f>
        <v>127.05</v>
      </c>
      <c r="E341" s="328">
        <v>40.5041</v>
      </c>
      <c r="F341" s="324"/>
      <c r="G341" s="323"/>
      <c r="H341" s="302"/>
      <c r="L341" s="251">
        <v>1</v>
      </c>
      <c r="O341" s="326" t="e">
        <f>D341/#REF!</f>
        <v>#REF!</v>
      </c>
    </row>
    <row r="342" spans="1:15" ht="15" customHeight="1">
      <c r="A342" s="133" t="s">
        <v>1910</v>
      </c>
      <c r="B342" s="254" t="s">
        <v>223</v>
      </c>
      <c r="C342" s="127" t="s">
        <v>1937</v>
      </c>
      <c r="D342" s="277">
        <f>LOOKUP(A342,'[3]PT'!$A$2:$A$725,'[3]PT'!$D$2:$D$725)</f>
        <v>103.31</v>
      </c>
      <c r="E342" s="328">
        <v>18.0992</v>
      </c>
      <c r="F342" s="324"/>
      <c r="G342" s="323"/>
      <c r="H342" s="302" t="s">
        <v>1280</v>
      </c>
      <c r="L342" s="251">
        <v>1</v>
      </c>
      <c r="O342" s="326" t="e">
        <f>D342/#REF!</f>
        <v>#REF!</v>
      </c>
    </row>
    <row r="343" spans="1:15" ht="15" customHeight="1">
      <c r="A343" s="133" t="s">
        <v>1090</v>
      </c>
      <c r="B343" s="254" t="s">
        <v>1091</v>
      </c>
      <c r="C343" s="127" t="s">
        <v>1810</v>
      </c>
      <c r="D343" s="277">
        <f>LOOKUP(A343,'[3]PT'!$A$2:$A$725,'[3]PT'!$D$2:$D$725)</f>
        <v>103.31</v>
      </c>
      <c r="E343" s="328">
        <v>210.16</v>
      </c>
      <c r="F343" s="324"/>
      <c r="G343" s="387"/>
      <c r="H343" s="334" t="s">
        <v>1165</v>
      </c>
      <c r="I343" s="251">
        <v>217.486</v>
      </c>
      <c r="L343" s="251">
        <v>1</v>
      </c>
      <c r="O343" s="326" t="e">
        <f>D343/#REF!</f>
        <v>#REF!</v>
      </c>
    </row>
    <row r="344" spans="1:15" ht="15" customHeight="1">
      <c r="A344" s="133" t="s">
        <v>1092</v>
      </c>
      <c r="B344" s="254" t="s">
        <v>1093</v>
      </c>
      <c r="C344" s="127" t="s">
        <v>1810</v>
      </c>
      <c r="D344" s="277">
        <f>LOOKUP(A344,'[3]PT'!$A$2:$A$725,'[3]PT'!$D$2:$D$725)</f>
        <v>103.31</v>
      </c>
      <c r="E344" s="328">
        <v>264.12</v>
      </c>
      <c r="F344" s="324"/>
      <c r="G344" s="323"/>
      <c r="H344" s="334" t="s">
        <v>1165</v>
      </c>
      <c r="I344" s="251">
        <v>273.327</v>
      </c>
      <c r="L344" s="251">
        <v>1</v>
      </c>
      <c r="O344" s="326" t="e">
        <f>D344/#REF!</f>
        <v>#REF!</v>
      </c>
    </row>
    <row r="345" spans="1:15" ht="15" customHeight="1">
      <c r="A345" s="133" t="s">
        <v>1094</v>
      </c>
      <c r="B345" s="254" t="s">
        <v>1095</v>
      </c>
      <c r="C345" s="127" t="s">
        <v>1810</v>
      </c>
      <c r="D345" s="277">
        <f>LOOKUP(A345,'[3]PT'!$A$2:$A$725,'[3]PT'!$D$2:$D$725)</f>
        <v>103.31</v>
      </c>
      <c r="E345" s="328">
        <v>627.64</v>
      </c>
      <c r="F345" s="324"/>
      <c r="G345" s="387"/>
      <c r="H345" s="334" t="s">
        <v>1165</v>
      </c>
      <c r="I345" s="251">
        <v>649.519</v>
      </c>
      <c r="L345" s="251">
        <v>1</v>
      </c>
      <c r="O345" s="326" t="e">
        <f>D345/#REF!</f>
        <v>#REF!</v>
      </c>
    </row>
    <row r="346" spans="1:15" ht="15" customHeight="1">
      <c r="A346" s="133" t="s">
        <v>1096</v>
      </c>
      <c r="B346" s="254" t="s">
        <v>1097</v>
      </c>
      <c r="C346" s="127" t="s">
        <v>1810</v>
      </c>
      <c r="D346" s="277">
        <f>LOOKUP(A346,'[3]PT'!$A$2:$A$725,'[3]PT'!$D$2:$D$725)</f>
        <v>103.31</v>
      </c>
      <c r="E346" s="328">
        <v>1056.48</v>
      </c>
      <c r="F346" s="324"/>
      <c r="G346" s="387"/>
      <c r="H346" s="334" t="s">
        <v>1165</v>
      </c>
      <c r="I346" s="251">
        <v>1093.308</v>
      </c>
      <c r="L346" s="251">
        <v>1</v>
      </c>
      <c r="O346" s="326" t="e">
        <f>D346/#REF!</f>
        <v>#REF!</v>
      </c>
    </row>
    <row r="347" spans="1:15" ht="15" customHeight="1">
      <c r="A347" s="133" t="s">
        <v>1098</v>
      </c>
      <c r="B347" s="254" t="s">
        <v>1099</v>
      </c>
      <c r="C347" s="127" t="s">
        <v>1810</v>
      </c>
      <c r="D347" s="277">
        <f>LOOKUP(A347,'[3]PT'!$A$2:$A$725,'[3]PT'!$D$2:$D$725)</f>
        <v>103.31</v>
      </c>
      <c r="E347" s="328">
        <v>1136</v>
      </c>
      <c r="F347" s="324"/>
      <c r="G347" s="387"/>
      <c r="H347" s="334" t="s">
        <v>1165</v>
      </c>
      <c r="I347" s="251">
        <v>1175.6</v>
      </c>
      <c r="L347" s="251">
        <v>1</v>
      </c>
      <c r="O347" s="326" t="e">
        <f>D347/#REF!</f>
        <v>#REF!</v>
      </c>
    </row>
    <row r="348" spans="1:15" ht="15" customHeight="1">
      <c r="A348" s="133" t="s">
        <v>1100</v>
      </c>
      <c r="B348" s="254" t="s">
        <v>1101</v>
      </c>
      <c r="C348" s="127" t="s">
        <v>178</v>
      </c>
      <c r="D348" s="277">
        <f>LOOKUP(A348,'[3]PT'!$A$2:$A$725,'[3]PT'!$D$2:$D$725)</f>
        <v>1005.9933</v>
      </c>
      <c r="E348" s="328">
        <v>195.185</v>
      </c>
      <c r="F348" s="357"/>
      <c r="G348" s="352"/>
      <c r="H348" s="334" t="s">
        <v>1166</v>
      </c>
      <c r="I348" s="251">
        <v>121.46</v>
      </c>
      <c r="L348" s="251">
        <v>1</v>
      </c>
      <c r="O348" s="326" t="e">
        <f>D348/#REF!</f>
        <v>#REF!</v>
      </c>
    </row>
    <row r="349" spans="1:15" ht="15" customHeight="1">
      <c r="A349" s="133" t="s">
        <v>1102</v>
      </c>
      <c r="B349" s="254" t="s">
        <v>1103</v>
      </c>
      <c r="C349" s="127" t="s">
        <v>178</v>
      </c>
      <c r="D349" s="277">
        <f>LOOKUP(A349,'[3]PT'!$A$2:$A$725,'[3]PT'!$D$2:$D$725)</f>
        <v>1301.8733</v>
      </c>
      <c r="E349" s="328">
        <v>257.77</v>
      </c>
      <c r="F349" s="357"/>
      <c r="G349" s="352"/>
      <c r="H349" s="334" t="s">
        <v>1166</v>
      </c>
      <c r="I349" s="251">
        <v>163.9</v>
      </c>
      <c r="L349" s="251">
        <v>1</v>
      </c>
      <c r="O349" s="326" t="e">
        <f>D349/#REF!</f>
        <v>#REF!</v>
      </c>
    </row>
    <row r="350" spans="1:15" ht="15" customHeight="1">
      <c r="A350" s="133" t="s">
        <v>1104</v>
      </c>
      <c r="B350" s="254" t="s">
        <v>1105</v>
      </c>
      <c r="C350" s="127" t="s">
        <v>178</v>
      </c>
      <c r="D350" s="277">
        <f>LOOKUP(A350,'[3]PT'!$A$2:$A$725,'[3]PT'!$D$2:$D$725)</f>
        <v>1595.9567</v>
      </c>
      <c r="E350" s="328">
        <v>312.575</v>
      </c>
      <c r="F350" s="357"/>
      <c r="G350" s="352"/>
      <c r="H350" s="334" t="s">
        <v>1166</v>
      </c>
      <c r="I350" s="251">
        <v>208.48</v>
      </c>
      <c r="L350" s="251">
        <v>1</v>
      </c>
      <c r="O350" s="326" t="e">
        <f>D350/#REF!</f>
        <v>#REF!</v>
      </c>
    </row>
    <row r="351" spans="1:15" ht="15" customHeight="1">
      <c r="A351" s="133" t="s">
        <v>1106</v>
      </c>
      <c r="B351" s="254" t="s">
        <v>1107</v>
      </c>
      <c r="C351" s="127" t="s">
        <v>178</v>
      </c>
      <c r="D351" s="277">
        <f>LOOKUP(A351,'[3]PT'!$A$2:$A$725,'[3]PT'!$D$2:$D$725)</f>
        <v>679.7267</v>
      </c>
      <c r="E351" s="328">
        <v>163.94</v>
      </c>
      <c r="F351" s="357"/>
      <c r="G351" s="352"/>
      <c r="H351" s="334" t="s">
        <v>1166</v>
      </c>
      <c r="I351" s="251">
        <v>132.63</v>
      </c>
      <c r="L351" s="251">
        <v>1</v>
      </c>
      <c r="O351" s="326" t="e">
        <f>D351/#REF!</f>
        <v>#REF!</v>
      </c>
    </row>
    <row r="352" spans="1:15" ht="15" customHeight="1">
      <c r="A352" s="133" t="s">
        <v>1108</v>
      </c>
      <c r="B352" s="254" t="s">
        <v>1109</v>
      </c>
      <c r="C352" s="127" t="s">
        <v>1937</v>
      </c>
      <c r="D352" s="277">
        <f>LOOKUP(A352,'[3]PT'!$A$2:$A$725,'[3]PT'!$D$2:$D$725)</f>
        <v>8.8733</v>
      </c>
      <c r="E352" s="328">
        <v>1.823</v>
      </c>
      <c r="F352" s="324"/>
      <c r="G352" s="387"/>
      <c r="H352" s="334" t="s">
        <v>1166</v>
      </c>
      <c r="I352" s="251">
        <v>1.91035</v>
      </c>
      <c r="L352" s="251">
        <v>1</v>
      </c>
      <c r="O352" s="326" t="e">
        <f>D352/#REF!</f>
        <v>#REF!</v>
      </c>
    </row>
    <row r="353" spans="1:15" ht="15" customHeight="1">
      <c r="A353" s="133" t="s">
        <v>1110</v>
      </c>
      <c r="B353" s="254" t="s">
        <v>1111</v>
      </c>
      <c r="C353" s="127" t="s">
        <v>178</v>
      </c>
      <c r="D353" s="277">
        <f>LOOKUP(A353,'[3]PT'!$A$2:$A$725,'[3]PT'!$D$2:$D$725)</f>
        <v>725.48</v>
      </c>
      <c r="E353" s="328">
        <v>35.39</v>
      </c>
      <c r="F353" s="324"/>
      <c r="G353" s="387"/>
      <c r="H353" s="334" t="s">
        <v>1167</v>
      </c>
      <c r="I353" s="251">
        <v>36.6256482939633</v>
      </c>
      <c r="L353" s="251">
        <v>1</v>
      </c>
      <c r="O353" s="326" t="e">
        <f>D353/#REF!</f>
        <v>#REF!</v>
      </c>
    </row>
    <row r="354" spans="1:15" ht="15" customHeight="1">
      <c r="A354" s="133" t="s">
        <v>1112</v>
      </c>
      <c r="B354" s="254" t="s">
        <v>1113</v>
      </c>
      <c r="C354" s="127" t="s">
        <v>178</v>
      </c>
      <c r="D354" s="277">
        <f>LOOKUP(A354,'[3]PT'!$A$2:$A$725,'[3]PT'!$D$2:$D$725)</f>
        <v>144.69</v>
      </c>
      <c r="E354" s="328">
        <v>50.1</v>
      </c>
      <c r="F354" s="324"/>
      <c r="G354" s="387"/>
      <c r="H354" s="334" t="s">
        <v>1167</v>
      </c>
      <c r="I354" s="251">
        <v>51.84396</v>
      </c>
      <c r="L354" s="251">
        <v>1</v>
      </c>
      <c r="O354" s="326" t="e">
        <f>D354/#REF!</f>
        <v>#REF!</v>
      </c>
    </row>
    <row r="355" spans="1:15" ht="15" customHeight="1">
      <c r="A355" s="133" t="s">
        <v>1114</v>
      </c>
      <c r="B355" s="254" t="s">
        <v>1115</v>
      </c>
      <c r="C355" s="127" t="s">
        <v>178</v>
      </c>
      <c r="D355" s="277">
        <f>LOOKUP(A355,'[3]PT'!$A$2:$A$725,'[3]PT'!$D$2:$D$725)</f>
        <v>144.69</v>
      </c>
      <c r="E355" s="328">
        <v>110.76</v>
      </c>
      <c r="F355" s="324"/>
      <c r="G355" s="387"/>
      <c r="H355" s="334" t="s">
        <v>1167</v>
      </c>
      <c r="I355" s="251">
        <v>114.621</v>
      </c>
      <c r="L355" s="251">
        <v>1</v>
      </c>
      <c r="O355" s="326" t="e">
        <f>D355/#REF!</f>
        <v>#REF!</v>
      </c>
    </row>
    <row r="356" spans="1:15" ht="15" customHeight="1">
      <c r="A356" s="133" t="s">
        <v>1116</v>
      </c>
      <c r="B356" s="254" t="s">
        <v>1117</v>
      </c>
      <c r="C356" s="127" t="s">
        <v>178</v>
      </c>
      <c r="D356" s="277">
        <f>LOOKUP(A356,'[3]PT'!$A$2:$A$725,'[3]PT'!$D$2:$D$725)</f>
        <v>119.83</v>
      </c>
      <c r="E356" s="328">
        <v>53.96</v>
      </c>
      <c r="F356" s="324"/>
      <c r="G356" s="387"/>
      <c r="H356" s="334" t="s">
        <v>1167</v>
      </c>
      <c r="I356" s="251">
        <v>55.841</v>
      </c>
      <c r="L356" s="251">
        <v>1</v>
      </c>
      <c r="O356" s="326" t="e">
        <f>D356/#REF!</f>
        <v>#REF!</v>
      </c>
    </row>
    <row r="357" spans="1:15" ht="15" customHeight="1">
      <c r="A357" s="133" t="s">
        <v>1118</v>
      </c>
      <c r="B357" s="212" t="s">
        <v>1549</v>
      </c>
      <c r="C357" s="127" t="s">
        <v>397</v>
      </c>
      <c r="D357" s="277">
        <f>LOOKUP(A357,'[3]PT'!$A$2:$A$725,'[3]PT'!$D$2:$D$725)</f>
        <v>4381.34</v>
      </c>
      <c r="E357" s="328">
        <v>785.8</v>
      </c>
      <c r="F357" s="324"/>
      <c r="G357" s="388"/>
      <c r="H357" s="325" t="s">
        <v>1284</v>
      </c>
      <c r="L357" s="251">
        <v>1</v>
      </c>
      <c r="O357" s="326" t="e">
        <f>D357/#REF!</f>
        <v>#REF!</v>
      </c>
    </row>
    <row r="358" spans="1:15" ht="15" customHeight="1">
      <c r="A358" s="133" t="s">
        <v>1119</v>
      </c>
      <c r="B358" s="211" t="s">
        <v>1550</v>
      </c>
      <c r="C358" s="127" t="s">
        <v>397</v>
      </c>
      <c r="D358" s="277">
        <f>LOOKUP(A358,'[3]PT'!$A$2:$A$725,'[3]PT'!$D$2:$D$725)</f>
        <v>3888.89</v>
      </c>
      <c r="E358" s="328">
        <v>775.8</v>
      </c>
      <c r="F358" s="324"/>
      <c r="G358" s="388"/>
      <c r="H358" s="325" t="s">
        <v>1285</v>
      </c>
      <c r="L358" s="251">
        <v>1</v>
      </c>
      <c r="O358" s="326" t="e">
        <f>D358/#REF!</f>
        <v>#REF!</v>
      </c>
    </row>
    <row r="359" spans="1:15" ht="15" customHeight="1">
      <c r="A359" s="133" t="s">
        <v>1120</v>
      </c>
      <c r="B359" s="254" t="s">
        <v>1121</v>
      </c>
      <c r="C359" s="127" t="s">
        <v>397</v>
      </c>
      <c r="D359" s="277">
        <f>LOOKUP(A359,'[3]PT'!$A$2:$A$725,'[3]PT'!$D$2:$D$725)</f>
        <v>3172.49</v>
      </c>
      <c r="E359" s="328">
        <v>825.8</v>
      </c>
      <c r="F359" s="324"/>
      <c r="G359" s="388"/>
      <c r="H359" s="325" t="s">
        <v>1286</v>
      </c>
      <c r="L359" s="251">
        <v>1</v>
      </c>
      <c r="O359" s="326" t="e">
        <f>D359/#REF!</f>
        <v>#REF!</v>
      </c>
    </row>
    <row r="360" spans="1:15" ht="15" customHeight="1">
      <c r="A360" s="133" t="s">
        <v>1122</v>
      </c>
      <c r="B360" s="254" t="s">
        <v>1123</v>
      </c>
      <c r="C360" s="127" t="s">
        <v>397</v>
      </c>
      <c r="D360" s="277">
        <f>LOOKUP(A360,'[3]PT'!$A$2:$A$725,'[3]PT'!$D$2:$D$725)</f>
        <v>4201.76</v>
      </c>
      <c r="E360" s="328">
        <v>695.8</v>
      </c>
      <c r="F360" s="324"/>
      <c r="G360" s="388"/>
      <c r="H360" s="325" t="s">
        <v>1287</v>
      </c>
      <c r="L360" s="251">
        <v>1</v>
      </c>
      <c r="O360" s="326" t="e">
        <f>D360/#REF!</f>
        <v>#REF!</v>
      </c>
    </row>
    <row r="361" spans="1:15" ht="15" customHeight="1">
      <c r="A361" s="133" t="s">
        <v>1124</v>
      </c>
      <c r="B361" s="254" t="s">
        <v>1125</v>
      </c>
      <c r="C361" s="127" t="s">
        <v>404</v>
      </c>
      <c r="D361" s="277">
        <f>LOOKUP(A361,'[3]PT'!$A$2:$A$725,'[3]PT'!$D$2:$D$725)</f>
        <v>2900</v>
      </c>
      <c r="E361" s="328">
        <v>482.8</v>
      </c>
      <c r="F361" s="324"/>
      <c r="G361" s="387"/>
      <c r="H361" s="334" t="s">
        <v>1168</v>
      </c>
      <c r="I361" s="251">
        <v>499.63</v>
      </c>
      <c r="L361" s="251">
        <v>1</v>
      </c>
      <c r="O361" s="326" t="e">
        <f>D361/#REF!</f>
        <v>#REF!</v>
      </c>
    </row>
    <row r="362" spans="1:15" ht="15" customHeight="1">
      <c r="A362" s="133" t="s">
        <v>1126</v>
      </c>
      <c r="B362" s="254" t="s">
        <v>1127</v>
      </c>
      <c r="C362" s="127" t="s">
        <v>1128</v>
      </c>
      <c r="D362" s="277">
        <f>LOOKUP(A362,'[3]PT'!$A$2:$A$725,'[3]PT'!$D$2:$D$725)</f>
        <v>0.26</v>
      </c>
      <c r="E362" s="328">
        <v>0.043</v>
      </c>
      <c r="F362" s="324"/>
      <c r="G362" s="387"/>
      <c r="H362" s="334" t="s">
        <v>1168</v>
      </c>
      <c r="I362" s="251">
        <v>0.044085</v>
      </c>
      <c r="L362" s="251">
        <v>1</v>
      </c>
      <c r="O362" s="326" t="e">
        <f>D362/#REF!</f>
        <v>#REF!</v>
      </c>
    </row>
    <row r="363" spans="1:15" ht="15" customHeight="1">
      <c r="A363" s="133" t="s">
        <v>1129</v>
      </c>
      <c r="B363" s="254" t="s">
        <v>1219</v>
      </c>
      <c r="C363" s="127" t="s">
        <v>1937</v>
      </c>
      <c r="D363" s="277">
        <f>LOOKUP(A363,'[3]PT'!$A$2:$A$725,'[3]PT'!$D$2:$D$725)</f>
        <v>74.38</v>
      </c>
      <c r="E363" s="328">
        <v>29</v>
      </c>
      <c r="F363" s="324"/>
      <c r="G363" s="292"/>
      <c r="H363" s="334" t="s">
        <v>1169</v>
      </c>
      <c r="L363" s="251">
        <v>1</v>
      </c>
      <c r="O363" s="326" t="e">
        <f>D363/#REF!</f>
        <v>#REF!</v>
      </c>
    </row>
    <row r="364" spans="1:15" ht="15" customHeight="1">
      <c r="A364" s="133" t="s">
        <v>1130</v>
      </c>
      <c r="B364" s="169" t="s">
        <v>1551</v>
      </c>
      <c r="C364" s="127" t="s">
        <v>397</v>
      </c>
      <c r="D364" s="277">
        <f>LOOKUP(A364,'[3]PT'!$A$2:$A$725,'[3]PT'!$D$2:$D$725)</f>
        <v>5797.52</v>
      </c>
      <c r="E364" s="328">
        <v>799.4</v>
      </c>
      <c r="F364" s="324"/>
      <c r="G364" s="389"/>
      <c r="H364" s="334" t="s">
        <v>1227</v>
      </c>
      <c r="L364" s="251">
        <v>1</v>
      </c>
      <c r="O364" s="326" t="e">
        <f>D364/#REF!</f>
        <v>#REF!</v>
      </c>
    </row>
    <row r="365" spans="1:15" ht="15" customHeight="1">
      <c r="A365" s="133" t="s">
        <v>1131</v>
      </c>
      <c r="B365" s="254" t="s">
        <v>1132</v>
      </c>
      <c r="C365" s="127" t="s">
        <v>178</v>
      </c>
      <c r="D365" s="277">
        <f>LOOKUP(A365,'[3]PT'!$A$2:$A$725,'[3]PT'!$D$2:$D$725)</f>
        <v>82000</v>
      </c>
      <c r="E365" s="328">
        <v>21500</v>
      </c>
      <c r="F365" s="324"/>
      <c r="G365" s="292"/>
      <c r="H365" s="334" t="s">
        <v>1170</v>
      </c>
      <c r="L365" s="251">
        <v>1</v>
      </c>
      <c r="O365" s="326" t="e">
        <f>D365/#REF!</f>
        <v>#REF!</v>
      </c>
    </row>
    <row r="366" spans="1:15" ht="15" customHeight="1">
      <c r="A366" s="133" t="s">
        <v>1133</v>
      </c>
      <c r="B366" s="254" t="s">
        <v>1134</v>
      </c>
      <c r="C366" s="127" t="s">
        <v>178</v>
      </c>
      <c r="D366" s="277">
        <f>LOOKUP(A366,'[3]PT'!$A$2:$A$725,'[3]PT'!$D$2:$D$725)</f>
        <v>13322.31</v>
      </c>
      <c r="E366" s="328">
        <v>3175</v>
      </c>
      <c r="F366" s="324"/>
      <c r="G366" s="292"/>
      <c r="H366" s="334" t="s">
        <v>1170</v>
      </c>
      <c r="K366" s="251">
        <f>K367/1.21</f>
        <v>20753.25</v>
      </c>
      <c r="L366" s="251">
        <v>1</v>
      </c>
      <c r="O366" s="326" t="e">
        <f>D366/#REF!</f>
        <v>#REF!</v>
      </c>
    </row>
    <row r="367" spans="1:15" ht="15" customHeight="1">
      <c r="A367" s="133" t="s">
        <v>1135</v>
      </c>
      <c r="B367" s="254" t="s">
        <v>1136</v>
      </c>
      <c r="C367" s="127" t="s">
        <v>1937</v>
      </c>
      <c r="D367" s="277">
        <f>LOOKUP(A367,'[3]PT'!$A$2:$A$725,'[3]PT'!$D$2:$D$725)</f>
        <v>1454.55</v>
      </c>
      <c r="E367" s="328">
        <v>360</v>
      </c>
      <c r="F367" s="324"/>
      <c r="G367" s="292"/>
      <c r="H367" s="334" t="s">
        <v>1170</v>
      </c>
      <c r="J367" s="390" t="s">
        <v>1229</v>
      </c>
      <c r="K367" s="251">
        <f>K368*E195</f>
        <v>25111.4325</v>
      </c>
      <c r="L367" s="251">
        <v>1</v>
      </c>
      <c r="O367" s="326" t="e">
        <f>D367/#REF!</f>
        <v>#REF!</v>
      </c>
    </row>
    <row r="368" spans="1:15" ht="15" customHeight="1">
      <c r="A368" s="133" t="s">
        <v>1137</v>
      </c>
      <c r="B368" s="254" t="s">
        <v>1138</v>
      </c>
      <c r="C368" s="127" t="s">
        <v>347</v>
      </c>
      <c r="D368" s="277">
        <f>LOOKUP(A368,'[3]PT'!$A$2:$A$725,'[3]PT'!$D$2:$D$725)</f>
        <v>102152.38</v>
      </c>
      <c r="E368" s="328">
        <v>22000</v>
      </c>
      <c r="F368" s="324"/>
      <c r="G368" s="387"/>
      <c r="H368" s="334" t="s">
        <v>1171</v>
      </c>
      <c r="I368" s="391"/>
      <c r="K368" s="251">
        <f>45.98+54.45+93.17+1300.75+895.4+240.79+114.95+114.95+1143.45+(33.88*12)+26.62+78.65+119.79+54.45+592.9+(18.15*6)+118.58+114.95+237.16+774.4+1875.5</f>
        <v>8512.349999999999</v>
      </c>
      <c r="L368" s="251">
        <v>24</v>
      </c>
      <c r="O368" s="326" t="e">
        <f>D368/#REF!</f>
        <v>#REF!</v>
      </c>
    </row>
    <row r="369" spans="1:15" ht="15" customHeight="1">
      <c r="A369" s="133" t="s">
        <v>1139</v>
      </c>
      <c r="B369" s="254" t="s">
        <v>1140</v>
      </c>
      <c r="C369" s="127" t="s">
        <v>1984</v>
      </c>
      <c r="D369" s="277">
        <f>LOOKUP(A369,'[3]PT'!$A$2:$A$725,'[3]PT'!$D$2:$D$725)</f>
        <v>217.6</v>
      </c>
      <c r="E369" s="328">
        <v>21.2767</v>
      </c>
      <c r="F369" s="324"/>
      <c r="G369" s="292"/>
      <c r="H369" s="334" t="s">
        <v>1172</v>
      </c>
      <c r="I369" s="392">
        <v>25725.46363</v>
      </c>
      <c r="K369" s="393">
        <f>180+200+450+3300+3200+650+300+500+4000+(75*12)+80+250+450+200+2000+(60*6)+300+350+750+2200+6000</f>
        <v>26620</v>
      </c>
      <c r="L369" s="251">
        <v>1</v>
      </c>
      <c r="O369" s="326" t="e">
        <f>D369/#REF!</f>
        <v>#REF!</v>
      </c>
    </row>
    <row r="370" spans="1:16" ht="15" customHeight="1">
      <c r="A370" s="133" t="s">
        <v>1141</v>
      </c>
      <c r="B370" s="254" t="s">
        <v>1142</v>
      </c>
      <c r="C370" s="127" t="s">
        <v>1984</v>
      </c>
      <c r="D370" s="277">
        <f>LOOKUP(A370,'[3]PT'!$A$2:$A$725,'[3]PT'!$D$2:$D$725)</f>
        <v>258.8497</v>
      </c>
      <c r="E370" s="328">
        <v>40</v>
      </c>
      <c r="F370" s="324"/>
      <c r="G370" s="292"/>
      <c r="H370" s="334" t="s">
        <v>1172</v>
      </c>
      <c r="K370" s="393">
        <f>147.62+174.24+296.45+3932.5+968+2722.5+943+774.4+367.84+496.1+4235+5929+(90.75*12)+84.7+242+387.2+193.6+2420+(72.6)+393.25+605+914.76+2154.75+6231.5</f>
        <v>35775.009999999995</v>
      </c>
      <c r="L370" s="251">
        <v>1</v>
      </c>
      <c r="O370" s="326" t="e">
        <f>D370/#REF!</f>
        <v>#REF!</v>
      </c>
      <c r="P370" s="260"/>
    </row>
    <row r="371" spans="1:16" ht="15" customHeight="1">
      <c r="A371" s="133" t="s">
        <v>1479</v>
      </c>
      <c r="B371" s="254" t="s">
        <v>1142</v>
      </c>
      <c r="C371" s="127" t="s">
        <v>1984</v>
      </c>
      <c r="D371" s="277">
        <f>LOOKUP(A371,'[3]PT'!$A$2:$A$725,'[3]PT'!$D$2:$D$725)</f>
        <v>129.5426</v>
      </c>
      <c r="E371" s="328"/>
      <c r="F371" s="324"/>
      <c r="G371" s="292"/>
      <c r="H371" s="334"/>
      <c r="K371" s="393"/>
      <c r="O371" s="326"/>
      <c r="P371" s="260"/>
    </row>
    <row r="372" spans="1:15" ht="15" customHeight="1">
      <c r="A372" s="133" t="s">
        <v>1220</v>
      </c>
      <c r="B372" s="254" t="s">
        <v>1221</v>
      </c>
      <c r="C372" s="127" t="s">
        <v>1966</v>
      </c>
      <c r="D372" s="277">
        <f>LOOKUP(A372,'[3]PT'!$A$2:$A$725,'[3]PT'!$D$2:$D$725)</f>
        <v>9.26</v>
      </c>
      <c r="E372" s="328">
        <v>4.5</v>
      </c>
      <c r="F372" s="324"/>
      <c r="G372" s="292"/>
      <c r="H372" s="334" t="s">
        <v>1170</v>
      </c>
      <c r="K372" s="393"/>
      <c r="O372" s="326" t="e">
        <f>D372/#REF!</f>
        <v>#REF!</v>
      </c>
    </row>
    <row r="373" spans="1:15" ht="15" customHeight="1">
      <c r="A373" s="133" t="s">
        <v>82</v>
      </c>
      <c r="B373" s="254" t="s">
        <v>83</v>
      </c>
      <c r="C373" s="127" t="s">
        <v>178</v>
      </c>
      <c r="D373" s="277">
        <f>LOOKUP(A373,'[3]PT'!$A$2:$A$725,'[3]PT'!$D$2:$D$725)</f>
        <v>63.5013</v>
      </c>
      <c r="E373" s="328">
        <v>9.9741</v>
      </c>
      <c r="F373" s="324"/>
      <c r="G373" s="292"/>
      <c r="H373" s="302" t="s">
        <v>1245</v>
      </c>
      <c r="K373" s="251">
        <f>K370/1.21</f>
        <v>29566.123966942145</v>
      </c>
      <c r="L373" s="251">
        <v>2</v>
      </c>
      <c r="O373" s="326" t="e">
        <f>D373/#REF!</f>
        <v>#REF!</v>
      </c>
    </row>
    <row r="374" spans="1:15" ht="15" customHeight="1">
      <c r="A374" s="133" t="s">
        <v>84</v>
      </c>
      <c r="B374" s="254" t="s">
        <v>85</v>
      </c>
      <c r="C374" s="127" t="s">
        <v>178</v>
      </c>
      <c r="D374" s="277">
        <f>LOOKUP(A374,'[3]PT'!$A$2:$A$725,'[3]PT'!$D$2:$D$725)</f>
        <v>56.883</v>
      </c>
      <c r="E374" s="328">
        <v>8.2142</v>
      </c>
      <c r="F374" s="324"/>
      <c r="G374" s="323"/>
      <c r="H374" s="302"/>
      <c r="L374" s="251">
        <v>2</v>
      </c>
      <c r="O374" s="326" t="e">
        <f>D374/#REF!</f>
        <v>#REF!</v>
      </c>
    </row>
    <row r="375" spans="1:15" ht="15" customHeight="1">
      <c r="A375" s="213" t="s">
        <v>914</v>
      </c>
      <c r="B375" s="254" t="s">
        <v>86</v>
      </c>
      <c r="C375" s="127" t="s">
        <v>178</v>
      </c>
      <c r="D375" s="277">
        <f>LOOKUP(A375,'[3]PT'!$A$2:$A$725,'[3]PT'!$D$2:$D$725)</f>
        <v>441.2925</v>
      </c>
      <c r="E375" s="328">
        <v>43.11</v>
      </c>
      <c r="F375" s="324"/>
      <c r="G375" s="323"/>
      <c r="H375" s="302"/>
      <c r="L375" s="251">
        <v>1</v>
      </c>
      <c r="O375" s="326" t="e">
        <f>D375/#REF!</f>
        <v>#REF!</v>
      </c>
    </row>
    <row r="376" spans="1:15" ht="15" customHeight="1">
      <c r="A376" s="133" t="s">
        <v>1670</v>
      </c>
      <c r="B376" s="254" t="s">
        <v>87</v>
      </c>
      <c r="C376" s="127" t="s">
        <v>178</v>
      </c>
      <c r="D376" s="277">
        <f>LOOKUP(A376,'[3]PT'!$A$2:$A$725,'[3]PT'!$D$2:$D$725)</f>
        <v>360.075</v>
      </c>
      <c r="E376" s="328">
        <v>38.36</v>
      </c>
      <c r="F376" s="324"/>
      <c r="G376" s="323"/>
      <c r="H376" s="302" t="s">
        <v>1173</v>
      </c>
      <c r="L376" s="251">
        <v>1</v>
      </c>
      <c r="O376" s="326" t="e">
        <f>D376/#REF!</f>
        <v>#REF!</v>
      </c>
    </row>
    <row r="377" spans="1:15" ht="15" customHeight="1">
      <c r="A377" s="133" t="s">
        <v>1975</v>
      </c>
      <c r="B377" s="254" t="s">
        <v>1976</v>
      </c>
      <c r="C377" s="127" t="s">
        <v>178</v>
      </c>
      <c r="D377" s="277">
        <f>LOOKUP(A377,'[3]PT'!$A$2:$A$725,'[3]PT'!$D$2:$D$725)</f>
        <v>452.52</v>
      </c>
      <c r="E377" s="328">
        <v>50.8</v>
      </c>
      <c r="F377" s="324"/>
      <c r="G377" s="323"/>
      <c r="H377" s="302" t="s">
        <v>1173</v>
      </c>
      <c r="L377" s="251">
        <v>1</v>
      </c>
      <c r="O377" s="326" t="e">
        <f>D377/#REF!</f>
        <v>#REF!</v>
      </c>
    </row>
    <row r="378" spans="1:15" ht="15" customHeight="1">
      <c r="A378" s="133" t="s">
        <v>1432</v>
      </c>
      <c r="B378" s="255" t="s">
        <v>1433</v>
      </c>
      <c r="C378" s="129" t="s">
        <v>178</v>
      </c>
      <c r="D378" s="277">
        <f>LOOKUP(A378,'[3]PT'!$A$2:$A$725,'[3]PT'!$D$2:$D$725)</f>
        <v>452.52</v>
      </c>
      <c r="E378" s="328">
        <v>8.17</v>
      </c>
      <c r="F378" s="394"/>
      <c r="G378" s="323"/>
      <c r="H378" s="302"/>
      <c r="O378" s="326" t="e">
        <f>D378/#REF!</f>
        <v>#REF!</v>
      </c>
    </row>
    <row r="379" spans="1:15" ht="15" customHeight="1">
      <c r="A379" s="133" t="s">
        <v>1666</v>
      </c>
      <c r="B379" s="254" t="s">
        <v>1991</v>
      </c>
      <c r="C379" s="127" t="s">
        <v>1810</v>
      </c>
      <c r="D379" s="277">
        <f>LOOKUP(A379,'[3]PT'!$A$2:$A$725,'[3]PT'!$D$2:$D$725)</f>
        <v>17.1218</v>
      </c>
      <c r="E379" s="328">
        <v>4.24</v>
      </c>
      <c r="F379" s="324"/>
      <c r="G379" s="323"/>
      <c r="H379" s="302" t="s">
        <v>1244</v>
      </c>
      <c r="L379" s="251">
        <v>2</v>
      </c>
      <c r="O379" s="326" t="e">
        <f>D379/#REF!</f>
        <v>#REF!</v>
      </c>
    </row>
    <row r="380" spans="1:15" ht="15" customHeight="1">
      <c r="A380" s="133" t="s">
        <v>1888</v>
      </c>
      <c r="B380" s="254" t="s">
        <v>1972</v>
      </c>
      <c r="C380" s="127" t="s">
        <v>1810</v>
      </c>
      <c r="D380" s="277">
        <f>LOOKUP(A380,'[3]PT'!$A$2:$A$725,'[3]PT'!$D$2:$D$725)</f>
        <v>45.5933</v>
      </c>
      <c r="E380" s="328">
        <v>5.9076</v>
      </c>
      <c r="F380" s="324"/>
      <c r="G380" s="323"/>
      <c r="H380" s="302"/>
      <c r="L380" s="251">
        <v>2</v>
      </c>
      <c r="O380" s="326" t="e">
        <f>D380/#REF!</f>
        <v>#REF!</v>
      </c>
    </row>
    <row r="381" spans="1:15" ht="15" customHeight="1">
      <c r="A381" s="133" t="s">
        <v>1672</v>
      </c>
      <c r="B381" s="254" t="s">
        <v>1971</v>
      </c>
      <c r="C381" s="127" t="s">
        <v>1810</v>
      </c>
      <c r="D381" s="277">
        <f>LOOKUP(A381,'[3]PT'!$A$2:$A$725,'[3]PT'!$D$2:$D$725)</f>
        <v>57.758</v>
      </c>
      <c r="E381" s="328">
        <v>6.8149</v>
      </c>
      <c r="F381" s="324"/>
      <c r="G381" s="323"/>
      <c r="H381" s="302" t="s">
        <v>1174</v>
      </c>
      <c r="L381" s="251">
        <v>2</v>
      </c>
      <c r="O381" s="326" t="e">
        <f>D381/#REF!</f>
        <v>#REF!</v>
      </c>
    </row>
    <row r="382" spans="1:15" ht="15" customHeight="1">
      <c r="A382" s="133" t="s">
        <v>1665</v>
      </c>
      <c r="B382" s="254" t="s">
        <v>1999</v>
      </c>
      <c r="C382" s="127" t="s">
        <v>178</v>
      </c>
      <c r="D382" s="277">
        <f>LOOKUP(A382,'[3]PT'!$A$2:$A$725,'[3]PT'!$D$2:$D$725)</f>
        <v>2.9818</v>
      </c>
      <c r="E382" s="366">
        <v>0.63</v>
      </c>
      <c r="F382" s="324"/>
      <c r="G382" s="323"/>
      <c r="H382" s="302"/>
      <c r="L382" s="251">
        <v>2</v>
      </c>
      <c r="O382" s="326" t="e">
        <f>D382/#REF!</f>
        <v>#REF!</v>
      </c>
    </row>
    <row r="383" spans="1:15" ht="15" customHeight="1">
      <c r="A383" s="133" t="s">
        <v>1804</v>
      </c>
      <c r="B383" s="254" t="s">
        <v>1997</v>
      </c>
      <c r="C383" s="127" t="s">
        <v>178</v>
      </c>
      <c r="D383" s="277">
        <f>LOOKUP(A383,'[3]PT'!$A$2:$A$725,'[3]PT'!$D$2:$D$725)</f>
        <v>9.3929</v>
      </c>
      <c r="E383" s="366">
        <v>0.89</v>
      </c>
      <c r="F383" s="324"/>
      <c r="G383" s="323"/>
      <c r="H383" s="302"/>
      <c r="L383" s="251">
        <v>2</v>
      </c>
      <c r="O383" s="326" t="e">
        <f>D383/#REF!</f>
        <v>#REF!</v>
      </c>
    </row>
    <row r="384" spans="1:15" ht="15" customHeight="1">
      <c r="A384" s="133" t="s">
        <v>80</v>
      </c>
      <c r="B384" s="254" t="s">
        <v>81</v>
      </c>
      <c r="C384" s="127" t="s">
        <v>178</v>
      </c>
      <c r="D384" s="277">
        <f>LOOKUP(A384,'[3]PT'!$A$2:$A$725,'[3]PT'!$D$2:$D$725)</f>
        <v>183.9863</v>
      </c>
      <c r="E384" s="328">
        <v>11.28</v>
      </c>
      <c r="F384" s="324"/>
      <c r="G384" s="323"/>
      <c r="H384" s="302"/>
      <c r="L384" s="251">
        <v>2</v>
      </c>
      <c r="O384" s="326" t="e">
        <f>D384/#REF!</f>
        <v>#REF!</v>
      </c>
    </row>
    <row r="385" spans="1:15" ht="15" customHeight="1">
      <c r="A385" s="133" t="s">
        <v>1973</v>
      </c>
      <c r="B385" s="254" t="s">
        <v>1974</v>
      </c>
      <c r="C385" s="127" t="s">
        <v>178</v>
      </c>
      <c r="D385" s="277">
        <f>LOOKUP(A385,'[3]PT'!$A$2:$A$725,'[3]PT'!$D$2:$D$725)</f>
        <v>50.455</v>
      </c>
      <c r="E385" s="328">
        <v>10.75</v>
      </c>
      <c r="F385" s="324"/>
      <c r="G385" s="323"/>
      <c r="H385" s="302"/>
      <c r="L385" s="251">
        <v>1</v>
      </c>
      <c r="O385" s="326" t="e">
        <f>D385/#REF!</f>
        <v>#REF!</v>
      </c>
    </row>
    <row r="386" spans="1:15" ht="15" customHeight="1">
      <c r="A386" s="133" t="s">
        <v>1436</v>
      </c>
      <c r="B386" s="255" t="s">
        <v>1438</v>
      </c>
      <c r="C386" s="129" t="s">
        <v>178</v>
      </c>
      <c r="D386" s="277">
        <f>LOOKUP(A386,'[3]PT'!$A$2:$A$725,'[3]PT'!$D$2:$D$725)</f>
        <v>1.1225</v>
      </c>
      <c r="E386" s="328">
        <v>0.2755</v>
      </c>
      <c r="F386" s="395"/>
      <c r="G386" s="323"/>
      <c r="H386" s="302"/>
      <c r="O386" s="326" t="e">
        <f>D386/#REF!</f>
        <v>#REF!</v>
      </c>
    </row>
    <row r="387" spans="1:15" ht="15" customHeight="1">
      <c r="A387" s="133" t="s">
        <v>1437</v>
      </c>
      <c r="B387" s="257" t="s">
        <v>1439</v>
      </c>
      <c r="C387" s="129" t="s">
        <v>178</v>
      </c>
      <c r="D387" s="277">
        <f>LOOKUP(A387,'[3]PT'!$A$2:$A$725,'[3]PT'!$D$2:$D$725)</f>
        <v>1.3628</v>
      </c>
      <c r="E387" s="328">
        <v>0.2937</v>
      </c>
      <c r="F387" s="396"/>
      <c r="G387" s="323"/>
      <c r="H387" s="302"/>
      <c r="O387" s="326" t="e">
        <f>D387/#REF!</f>
        <v>#REF!</v>
      </c>
    </row>
    <row r="388" spans="1:15" ht="15" customHeight="1">
      <c r="A388" s="133" t="s">
        <v>1775</v>
      </c>
      <c r="B388" s="254" t="s">
        <v>1992</v>
      </c>
      <c r="C388" s="127" t="s">
        <v>178</v>
      </c>
      <c r="D388" s="277">
        <f>LOOKUP(A388,'[3]PT'!$A$2:$A$725,'[3]PT'!$D$2:$D$725)</f>
        <v>3.9063</v>
      </c>
      <c r="E388" s="328">
        <v>0.88</v>
      </c>
      <c r="F388" s="396"/>
      <c r="G388" s="323"/>
      <c r="H388" s="302"/>
      <c r="L388" s="251">
        <v>2</v>
      </c>
      <c r="O388" s="326" t="e">
        <f>D388/#REF!</f>
        <v>#REF!</v>
      </c>
    </row>
    <row r="389" spans="1:15" ht="15" customHeight="1">
      <c r="A389" s="133" t="s">
        <v>1776</v>
      </c>
      <c r="B389" s="254" t="s">
        <v>1993</v>
      </c>
      <c r="C389" s="127" t="s">
        <v>178</v>
      </c>
      <c r="D389" s="277">
        <f>LOOKUP(A389,'[3]PT'!$A$2:$A$725,'[3]PT'!$D$2:$D$725)</f>
        <v>319.3479</v>
      </c>
      <c r="E389" s="328">
        <v>47.7585</v>
      </c>
      <c r="F389" s="324"/>
      <c r="G389" s="323"/>
      <c r="H389" s="302"/>
      <c r="L389" s="251">
        <v>2</v>
      </c>
      <c r="O389" s="326" t="e">
        <f>D389/#REF!</f>
        <v>#REF!</v>
      </c>
    </row>
    <row r="390" spans="1:15" ht="15" customHeight="1">
      <c r="A390" s="133" t="s">
        <v>1777</v>
      </c>
      <c r="B390" s="254" t="s">
        <v>1994</v>
      </c>
      <c r="C390" s="127" t="s">
        <v>178</v>
      </c>
      <c r="D390" s="277">
        <f>LOOKUP(A390,'[3]PT'!$A$2:$A$725,'[3]PT'!$D$2:$D$725)</f>
        <v>155.4</v>
      </c>
      <c r="E390" s="328">
        <v>24.7108</v>
      </c>
      <c r="F390" s="357"/>
      <c r="G390" s="323"/>
      <c r="H390" s="251" t="s">
        <v>1250</v>
      </c>
      <c r="L390" s="251">
        <v>3</v>
      </c>
      <c r="O390" s="326" t="e">
        <f>D390/#REF!</f>
        <v>#REF!</v>
      </c>
    </row>
    <row r="391" spans="1:15" ht="15" customHeight="1">
      <c r="A391" s="133" t="s">
        <v>1778</v>
      </c>
      <c r="B391" s="254" t="s">
        <v>1995</v>
      </c>
      <c r="C391" s="127" t="s">
        <v>1810</v>
      </c>
      <c r="D391" s="277">
        <f>LOOKUP(A391,'[3]PT'!$A$2:$A$725,'[3]PT'!$D$2:$D$725)</f>
        <v>30.1913</v>
      </c>
      <c r="E391" s="328">
        <v>5.841</v>
      </c>
      <c r="F391" s="357"/>
      <c r="G391" s="323"/>
      <c r="H391" s="302"/>
      <c r="L391" s="251">
        <v>2</v>
      </c>
      <c r="O391" s="326" t="e">
        <f>D391/#REF!</f>
        <v>#REF!</v>
      </c>
    </row>
    <row r="392" spans="1:15" ht="15" customHeight="1">
      <c r="A392" s="133" t="s">
        <v>1451</v>
      </c>
      <c r="B392" s="254" t="s">
        <v>1452</v>
      </c>
      <c r="C392" s="127" t="s">
        <v>178</v>
      </c>
      <c r="D392" s="277">
        <f>LOOKUP(A392,'[3]PT'!$A$2:$A$725,'[3]PT'!$D$2:$D$725)</f>
        <v>33.0316</v>
      </c>
      <c r="E392" s="328">
        <v>6.71</v>
      </c>
      <c r="F392" s="357"/>
      <c r="G392" s="323"/>
      <c r="H392" s="302"/>
      <c r="O392" s="326" t="e">
        <f>D392/#REF!</f>
        <v>#REF!</v>
      </c>
    </row>
    <row r="393" spans="1:15" ht="15" customHeight="1">
      <c r="A393" s="133" t="s">
        <v>164</v>
      </c>
      <c r="B393" s="254" t="s">
        <v>89</v>
      </c>
      <c r="C393" s="127" t="s">
        <v>178</v>
      </c>
      <c r="D393" s="277">
        <f>LOOKUP(A393,'[3]PT'!$A$2:$A$725,'[3]PT'!$D$2:$D$725)</f>
        <v>501.9384</v>
      </c>
      <c r="E393" s="328">
        <v>89.85</v>
      </c>
      <c r="F393" s="357"/>
      <c r="G393" s="323"/>
      <c r="H393" s="302"/>
      <c r="L393" s="251">
        <v>2</v>
      </c>
      <c r="O393" s="326" t="e">
        <f>D393/#REF!</f>
        <v>#REF!</v>
      </c>
    </row>
    <row r="394" spans="1:15" ht="15" customHeight="1">
      <c r="A394" s="133" t="s">
        <v>1669</v>
      </c>
      <c r="B394" s="254" t="s">
        <v>1979</v>
      </c>
      <c r="C394" s="127" t="s">
        <v>178</v>
      </c>
      <c r="D394" s="277">
        <f>LOOKUP(A394,'[3]PT'!$A$2:$A$725,'[3]PT'!$D$2:$D$725)</f>
        <v>818.44</v>
      </c>
      <c r="E394" s="328">
        <v>91.46</v>
      </c>
      <c r="F394" s="357"/>
      <c r="G394" s="397"/>
      <c r="H394" s="302" t="s">
        <v>1173</v>
      </c>
      <c r="L394" s="251">
        <v>1</v>
      </c>
      <c r="O394" s="326" t="e">
        <f>D394/#REF!</f>
        <v>#REF!</v>
      </c>
    </row>
    <row r="395" spans="1:15" ht="15" customHeight="1">
      <c r="A395" s="133" t="s">
        <v>1667</v>
      </c>
      <c r="B395" s="254" t="s">
        <v>1977</v>
      </c>
      <c r="C395" s="127" t="s">
        <v>178</v>
      </c>
      <c r="D395" s="277">
        <f>LOOKUP(A395,'[3]PT'!$A$2:$A$725,'[3]PT'!$D$2:$D$725)</f>
        <v>96.1312</v>
      </c>
      <c r="E395" s="366">
        <v>7.24</v>
      </c>
      <c r="F395" s="357"/>
      <c r="G395" s="323"/>
      <c r="H395" s="302"/>
      <c r="L395" s="251">
        <v>2</v>
      </c>
      <c r="O395" s="326" t="e">
        <f>D395/#REF!</f>
        <v>#REF!</v>
      </c>
    </row>
    <row r="396" spans="1:15" ht="15" customHeight="1">
      <c r="A396" s="133" t="s">
        <v>1794</v>
      </c>
      <c r="B396" s="254" t="s">
        <v>1978</v>
      </c>
      <c r="C396" s="127" t="s">
        <v>178</v>
      </c>
      <c r="D396" s="277">
        <f>LOOKUP(A396,'[3]PT'!$A$2:$A$725,'[3]PT'!$D$2:$D$725)</f>
        <v>83.6259</v>
      </c>
      <c r="E396" s="366">
        <v>7.81</v>
      </c>
      <c r="F396" s="357"/>
      <c r="G396" s="323"/>
      <c r="H396" s="302"/>
      <c r="L396" s="251">
        <v>2</v>
      </c>
      <c r="O396" s="326" t="e">
        <f>D396/#REF!</f>
        <v>#REF!</v>
      </c>
    </row>
    <row r="397" spans="1:15" ht="15" customHeight="1">
      <c r="A397" s="133" t="s">
        <v>1434</v>
      </c>
      <c r="B397" s="255" t="s">
        <v>1435</v>
      </c>
      <c r="C397" s="129" t="s">
        <v>178</v>
      </c>
      <c r="D397" s="277">
        <f>LOOKUP(A397,'[3]PT'!$A$2:$A$725,'[3]PT'!$D$2:$D$725)</f>
        <v>86.9914</v>
      </c>
      <c r="E397" s="366">
        <v>7.58</v>
      </c>
      <c r="F397" s="324"/>
      <c r="G397" s="323"/>
      <c r="H397" s="302"/>
      <c r="O397" s="326" t="e">
        <f>D397/#REF!</f>
        <v>#REF!</v>
      </c>
    </row>
    <row r="398" spans="1:15" ht="15" customHeight="1">
      <c r="A398" s="133" t="s">
        <v>1318</v>
      </c>
      <c r="B398" s="255" t="s">
        <v>1450</v>
      </c>
      <c r="C398" s="129" t="s">
        <v>178</v>
      </c>
      <c r="D398" s="277">
        <f>LOOKUP(A398,'[3]PT'!$A$2:$A$725,'[3]PT'!$D$2:$D$725)</f>
        <v>60.2806</v>
      </c>
      <c r="E398" s="366">
        <v>15.07</v>
      </c>
      <c r="F398" s="324"/>
      <c r="G398" s="323"/>
      <c r="H398" s="302"/>
      <c r="O398" s="326" t="e">
        <f>D398/#REF!</f>
        <v>#REF!</v>
      </c>
    </row>
    <row r="399" spans="1:15" ht="15" customHeight="1">
      <c r="A399" s="133" t="s">
        <v>1370</v>
      </c>
      <c r="B399" s="210" t="s">
        <v>1039</v>
      </c>
      <c r="C399" s="129" t="s">
        <v>178</v>
      </c>
      <c r="D399" s="277">
        <f>LOOKUP(A399,'[3]PT'!$A$2:$A$725,'[3]PT'!$D$2:$D$725)</f>
        <v>1040.1751</v>
      </c>
      <c r="E399" s="366"/>
      <c r="F399" s="324"/>
      <c r="G399" s="323"/>
      <c r="H399" s="302"/>
      <c r="O399" s="326" t="e">
        <f>D399/#REF!</f>
        <v>#REF!</v>
      </c>
    </row>
    <row r="400" spans="1:15" ht="15" customHeight="1">
      <c r="A400" s="133" t="s">
        <v>1671</v>
      </c>
      <c r="B400" s="254" t="s">
        <v>1969</v>
      </c>
      <c r="C400" s="127" t="s">
        <v>1937</v>
      </c>
      <c r="D400" s="277">
        <f>LOOKUP(A400,'[3]PT'!$A$2:$A$725,'[3]PT'!$D$2:$D$725)</f>
        <v>619.83</v>
      </c>
      <c r="E400" s="366">
        <v>110.68</v>
      </c>
      <c r="F400" s="357"/>
      <c r="G400" s="323"/>
      <c r="H400" s="302" t="s">
        <v>1175</v>
      </c>
      <c r="L400" s="251">
        <v>2</v>
      </c>
      <c r="O400" s="326" t="e">
        <f>D400/#REF!</f>
        <v>#REF!</v>
      </c>
    </row>
    <row r="401" spans="1:15" ht="15" customHeight="1">
      <c r="A401" s="133" t="s">
        <v>387</v>
      </c>
      <c r="B401" s="254" t="s">
        <v>388</v>
      </c>
      <c r="C401" s="127" t="s">
        <v>1937</v>
      </c>
      <c r="D401" s="277">
        <f>LOOKUP(A401,'[3]PT'!$A$2:$A$725,'[3]PT'!$D$2:$D$725)</f>
        <v>1233.56</v>
      </c>
      <c r="E401" s="366">
        <v>194.21</v>
      </c>
      <c r="F401" s="324"/>
      <c r="G401" s="323"/>
      <c r="H401" s="302" t="s">
        <v>1175</v>
      </c>
      <c r="L401" s="251">
        <v>1</v>
      </c>
      <c r="O401" s="326" t="e">
        <f>D401/#REF!</f>
        <v>#REF!</v>
      </c>
    </row>
    <row r="402" spans="1:15" ht="15" customHeight="1">
      <c r="A402" s="133" t="s">
        <v>1889</v>
      </c>
      <c r="B402" s="254" t="s">
        <v>90</v>
      </c>
      <c r="C402" s="127" t="s">
        <v>178</v>
      </c>
      <c r="D402" s="277">
        <f>LOOKUP(A402,'[3]PT'!$A$2:$A$725,'[3]PT'!$D$2:$D$725)</f>
        <v>30.2016</v>
      </c>
      <c r="E402" s="366">
        <v>6.96</v>
      </c>
      <c r="F402" s="324"/>
      <c r="G402" s="323"/>
      <c r="H402" s="302"/>
      <c r="L402" s="251">
        <v>2</v>
      </c>
      <c r="O402" s="326" t="e">
        <f>D402/#REF!</f>
        <v>#REF!</v>
      </c>
    </row>
    <row r="403" spans="1:15" ht="15" customHeight="1">
      <c r="A403" s="133" t="s">
        <v>1779</v>
      </c>
      <c r="B403" s="254" t="s">
        <v>1996</v>
      </c>
      <c r="C403" s="127" t="s">
        <v>178</v>
      </c>
      <c r="D403" s="277">
        <f>LOOKUP(A403,'[3]PT'!$A$2:$A$725,'[3]PT'!$D$2:$D$725)</f>
        <v>121.9696</v>
      </c>
      <c r="E403" s="366">
        <v>11.8342</v>
      </c>
      <c r="F403" s="324"/>
      <c r="G403" s="323"/>
      <c r="H403" s="302"/>
      <c r="L403" s="251">
        <v>2</v>
      </c>
      <c r="O403" s="326" t="e">
        <f>D403/#REF!</f>
        <v>#REF!</v>
      </c>
    </row>
    <row r="404" spans="1:15" ht="15" customHeight="1">
      <c r="A404" s="133" t="s">
        <v>1371</v>
      </c>
      <c r="B404" s="255" t="s">
        <v>1397</v>
      </c>
      <c r="C404" s="129" t="s">
        <v>178</v>
      </c>
      <c r="D404" s="277">
        <f>LOOKUP(A404,'[3]PT'!$A$2:$A$725,'[3]PT'!$D$2:$D$725)</f>
        <v>8.3037</v>
      </c>
      <c r="E404" s="366">
        <v>0.95</v>
      </c>
      <c r="F404" s="324"/>
      <c r="G404" s="323"/>
      <c r="H404" s="302"/>
      <c r="O404" s="326" t="e">
        <f>D404/#REF!</f>
        <v>#REF!</v>
      </c>
    </row>
    <row r="405" spans="1:15" ht="15" customHeight="1">
      <c r="A405" s="133" t="s">
        <v>1372</v>
      </c>
      <c r="B405" s="255" t="s">
        <v>1398</v>
      </c>
      <c r="C405" s="129" t="s">
        <v>178</v>
      </c>
      <c r="D405" s="277">
        <f>LOOKUP(A405,'[3]PT'!$A$2:$A$725,'[3]PT'!$D$2:$D$725)</f>
        <v>10.8864</v>
      </c>
      <c r="E405" s="366">
        <v>1.28</v>
      </c>
      <c r="F405" s="324"/>
      <c r="G405" s="323"/>
      <c r="H405" s="302"/>
      <c r="O405" s="326" t="e">
        <f>D405/#REF!</f>
        <v>#REF!</v>
      </c>
    </row>
    <row r="406" spans="1:15" ht="15" customHeight="1">
      <c r="A406" s="133" t="s">
        <v>1373</v>
      </c>
      <c r="B406" s="255" t="s">
        <v>1399</v>
      </c>
      <c r="C406" s="129" t="s">
        <v>178</v>
      </c>
      <c r="D406" s="277">
        <f>LOOKUP(A406,'[3]PT'!$A$2:$A$725,'[3]PT'!$D$2:$D$725)</f>
        <v>6.4879</v>
      </c>
      <c r="E406" s="366">
        <v>0.7</v>
      </c>
      <c r="F406" s="324"/>
      <c r="G406" s="323"/>
      <c r="H406" s="302"/>
      <c r="O406" s="326" t="e">
        <f>D406/#REF!</f>
        <v>#REF!</v>
      </c>
    </row>
    <row r="407" spans="1:15" ht="15" customHeight="1">
      <c r="A407" s="133" t="s">
        <v>1374</v>
      </c>
      <c r="B407" s="255" t="s">
        <v>1400</v>
      </c>
      <c r="C407" s="129" t="s">
        <v>178</v>
      </c>
      <c r="D407" s="277">
        <f>LOOKUP(A407,'[3]PT'!$A$2:$A$725,'[3]PT'!$D$2:$D$725)</f>
        <v>8.5661</v>
      </c>
      <c r="E407" s="366">
        <v>1.13</v>
      </c>
      <c r="F407" s="324"/>
      <c r="G407" s="323"/>
      <c r="H407" s="302"/>
      <c r="O407" s="326" t="e">
        <f>D407/#REF!</f>
        <v>#REF!</v>
      </c>
    </row>
    <row r="408" spans="1:15" ht="15" customHeight="1">
      <c r="A408" s="133" t="s">
        <v>1375</v>
      </c>
      <c r="B408" s="255" t="s">
        <v>1401</v>
      </c>
      <c r="C408" s="129" t="s">
        <v>178</v>
      </c>
      <c r="D408" s="277">
        <f>LOOKUP(A408,'[3]PT'!$A$2:$A$725,'[3]PT'!$D$2:$D$725)</f>
        <v>5.9798</v>
      </c>
      <c r="E408" s="366">
        <v>0.51</v>
      </c>
      <c r="F408" s="324"/>
      <c r="G408" s="323"/>
      <c r="H408" s="302"/>
      <c r="O408" s="326" t="e">
        <f>D408/#REF!</f>
        <v>#REF!</v>
      </c>
    </row>
    <row r="409" spans="1:15" ht="15" customHeight="1">
      <c r="A409" s="136" t="s">
        <v>1376</v>
      </c>
      <c r="B409" s="255" t="s">
        <v>1402</v>
      </c>
      <c r="C409" s="129" t="s">
        <v>178</v>
      </c>
      <c r="D409" s="277">
        <f>LOOKUP(A409,'[3]PT'!$A$2:$A$725,'[3]PT'!$D$2:$D$725)</f>
        <v>5.9798</v>
      </c>
      <c r="E409" s="332">
        <f>E386</f>
        <v>0.2755</v>
      </c>
      <c r="F409" s="324"/>
      <c r="G409" s="323"/>
      <c r="H409" s="302"/>
      <c r="O409" s="326" t="e">
        <f>D409/#REF!</f>
        <v>#REF!</v>
      </c>
    </row>
    <row r="410" spans="1:15" ht="15" customHeight="1">
      <c r="A410" s="136" t="s">
        <v>1377</v>
      </c>
      <c r="B410" s="255" t="s">
        <v>1403</v>
      </c>
      <c r="C410" s="129" t="s">
        <v>178</v>
      </c>
      <c r="D410" s="277">
        <f>LOOKUP(A410,'[3]PT'!$A$2:$A$725,'[3]PT'!$D$2:$D$725)</f>
        <v>5.9798</v>
      </c>
      <c r="E410" s="332">
        <f>E387</f>
        <v>0.2937</v>
      </c>
      <c r="F410" s="324"/>
      <c r="G410" s="323"/>
      <c r="H410" s="302"/>
      <c r="O410" s="326" t="e">
        <f>D410/#REF!</f>
        <v>#REF!</v>
      </c>
    </row>
    <row r="411" spans="1:15" ht="15" customHeight="1">
      <c r="A411" s="133" t="s">
        <v>1378</v>
      </c>
      <c r="B411" s="255" t="s">
        <v>1404</v>
      </c>
      <c r="C411" s="129" t="s">
        <v>178</v>
      </c>
      <c r="D411" s="277">
        <f>LOOKUP(A411,'[3]PT'!$A$2:$A$725,'[3]PT'!$D$2:$D$725)</f>
        <v>2.0223</v>
      </c>
      <c r="E411" s="366">
        <v>0.43</v>
      </c>
      <c r="F411" s="324"/>
      <c r="G411" s="323"/>
      <c r="H411" s="302"/>
      <c r="O411" s="326" t="e">
        <f>D411/#REF!</f>
        <v>#REF!</v>
      </c>
    </row>
    <row r="412" spans="1:15" ht="15" customHeight="1">
      <c r="A412" s="133" t="s">
        <v>1379</v>
      </c>
      <c r="B412" s="255" t="s">
        <v>1405</v>
      </c>
      <c r="C412" s="129" t="s">
        <v>178</v>
      </c>
      <c r="D412" s="277">
        <f>LOOKUP(A412,'[3]PT'!$A$2:$A$725,'[3]PT'!$D$2:$D$725)</f>
        <v>2.6566</v>
      </c>
      <c r="E412" s="366">
        <v>0.57</v>
      </c>
      <c r="F412" s="324"/>
      <c r="G412" s="323"/>
      <c r="H412" s="302"/>
      <c r="O412" s="326" t="e">
        <f>D412/#REF!</f>
        <v>#REF!</v>
      </c>
    </row>
    <row r="413" spans="1:15" ht="15" customHeight="1">
      <c r="A413" s="133" t="s">
        <v>1380</v>
      </c>
      <c r="B413" s="255" t="s">
        <v>1406</v>
      </c>
      <c r="C413" s="129" t="s">
        <v>178</v>
      </c>
      <c r="D413" s="277">
        <f>LOOKUP(A413,'[3]PT'!$A$2:$A$725,'[3]PT'!$D$2:$D$725)</f>
        <v>5.9393</v>
      </c>
      <c r="E413" s="366">
        <v>1.34</v>
      </c>
      <c r="F413" s="324"/>
      <c r="G413" s="323"/>
      <c r="H413" s="302"/>
      <c r="O413" s="326" t="e">
        <f>D413/#REF!</f>
        <v>#REF!</v>
      </c>
    </row>
    <row r="414" spans="1:15" ht="15" customHeight="1">
      <c r="A414" s="133" t="s">
        <v>1381</v>
      </c>
      <c r="B414" s="255" t="s">
        <v>1407</v>
      </c>
      <c r="C414" s="129" t="s">
        <v>178</v>
      </c>
      <c r="D414" s="277">
        <f>LOOKUP(A414,'[3]PT'!$A$2:$A$725,'[3]PT'!$D$2:$D$725)</f>
        <v>7.5448</v>
      </c>
      <c r="E414" s="366">
        <v>1.7</v>
      </c>
      <c r="F414" s="324"/>
      <c r="G414" s="323"/>
      <c r="H414" s="302"/>
      <c r="O414" s="326" t="e">
        <f>D414/#REF!</f>
        <v>#REF!</v>
      </c>
    </row>
    <row r="415" spans="1:15" ht="15" customHeight="1">
      <c r="A415" s="133" t="s">
        <v>1382</v>
      </c>
      <c r="B415" s="255" t="s">
        <v>1408</v>
      </c>
      <c r="C415" s="129" t="s">
        <v>178</v>
      </c>
      <c r="D415" s="277">
        <f>LOOKUP(A415,'[3]PT'!$A$2:$A$725,'[3]PT'!$D$2:$D$725)</f>
        <v>7.5448</v>
      </c>
      <c r="E415" s="332">
        <f>E398</f>
        <v>15.07</v>
      </c>
      <c r="F415" s="324"/>
      <c r="G415" s="323"/>
      <c r="H415" s="302"/>
      <c r="O415" s="326" t="e">
        <f>D415/#REF!</f>
        <v>#REF!</v>
      </c>
    </row>
    <row r="416" spans="1:15" ht="15" customHeight="1">
      <c r="A416" s="133" t="s">
        <v>1383</v>
      </c>
      <c r="B416" s="255" t="s">
        <v>1409</v>
      </c>
      <c r="C416" s="129" t="s">
        <v>178</v>
      </c>
      <c r="D416" s="277">
        <f>LOOKUP(A416,'[3]PT'!$A$2:$A$725,'[3]PT'!$D$2:$D$725)</f>
        <v>1.0772</v>
      </c>
      <c r="E416" s="366">
        <v>0.23</v>
      </c>
      <c r="F416" s="324"/>
      <c r="G416" s="323"/>
      <c r="H416" s="302"/>
      <c r="O416" s="326" t="e">
        <f>D416/#REF!</f>
        <v>#REF!</v>
      </c>
    </row>
    <row r="417" spans="1:15" ht="15" customHeight="1">
      <c r="A417" s="133" t="s">
        <v>1384</v>
      </c>
      <c r="B417" s="255" t="s">
        <v>1410</v>
      </c>
      <c r="C417" s="129" t="s">
        <v>178</v>
      </c>
      <c r="D417" s="277">
        <f>LOOKUP(A417,'[3]PT'!$A$2:$A$725,'[3]PT'!$D$2:$D$725)</f>
        <v>1.5597</v>
      </c>
      <c r="E417" s="366">
        <v>0.34</v>
      </c>
      <c r="F417" s="324"/>
      <c r="G417" s="323"/>
      <c r="H417" s="302"/>
      <c r="O417" s="326" t="e">
        <f>D417/#REF!</f>
        <v>#REF!</v>
      </c>
    </row>
    <row r="418" spans="1:15" ht="15" customHeight="1">
      <c r="A418" s="133" t="s">
        <v>1385</v>
      </c>
      <c r="B418" s="255" t="s">
        <v>1411</v>
      </c>
      <c r="C418" s="129" t="s">
        <v>178</v>
      </c>
      <c r="D418" s="277">
        <f>LOOKUP(A418,'[3]PT'!$A$2:$A$725,'[3]PT'!$D$2:$D$725)</f>
        <v>24.2637</v>
      </c>
      <c r="E418" s="366">
        <v>4.63</v>
      </c>
      <c r="F418" s="324"/>
      <c r="G418" s="323"/>
      <c r="H418" s="302"/>
      <c r="O418" s="326" t="e">
        <f>D418/#REF!</f>
        <v>#REF!</v>
      </c>
    </row>
    <row r="419" spans="1:15" ht="15" customHeight="1">
      <c r="A419" s="133" t="s">
        <v>1386</v>
      </c>
      <c r="B419" s="255" t="s">
        <v>1412</v>
      </c>
      <c r="C419" s="129" t="s">
        <v>178</v>
      </c>
      <c r="D419" s="277">
        <f>LOOKUP(A419,'[3]PT'!$A$2:$A$725,'[3]PT'!$D$2:$D$725)</f>
        <v>5.4532</v>
      </c>
      <c r="E419" s="366">
        <v>1.14</v>
      </c>
      <c r="F419" s="324"/>
      <c r="G419" s="323"/>
      <c r="H419" s="302"/>
      <c r="O419" s="326" t="e">
        <f>D419/#REF!</f>
        <v>#REF!</v>
      </c>
    </row>
    <row r="420" spans="1:15" ht="15" customHeight="1">
      <c r="A420" s="133" t="s">
        <v>1387</v>
      </c>
      <c r="B420" s="255" t="s">
        <v>1413</v>
      </c>
      <c r="C420" s="129" t="s">
        <v>178</v>
      </c>
      <c r="D420" s="277">
        <f>LOOKUP(A420,'[3]PT'!$A$2:$A$725,'[3]PT'!$D$2:$D$725)</f>
        <v>8.6906</v>
      </c>
      <c r="E420" s="366">
        <v>1.82</v>
      </c>
      <c r="F420" s="324"/>
      <c r="G420" s="323"/>
      <c r="H420" s="302"/>
      <c r="O420" s="326" t="e">
        <f>D420/#REF!</f>
        <v>#REF!</v>
      </c>
    </row>
    <row r="421" spans="1:15" ht="15" customHeight="1">
      <c r="A421" s="133" t="s">
        <v>1388</v>
      </c>
      <c r="B421" s="255" t="s">
        <v>1414</v>
      </c>
      <c r="C421" s="129" t="s">
        <v>178</v>
      </c>
      <c r="D421" s="277">
        <f>LOOKUP(A421,'[3]PT'!$A$2:$A$725,'[3]PT'!$D$2:$D$725)</f>
        <v>9.7193</v>
      </c>
      <c r="E421" s="366">
        <v>2.04</v>
      </c>
      <c r="F421" s="324"/>
      <c r="G421" s="323"/>
      <c r="H421" s="302"/>
      <c r="O421" s="326" t="e">
        <f>D421/#REF!</f>
        <v>#REF!</v>
      </c>
    </row>
    <row r="422" spans="1:15" ht="15" customHeight="1">
      <c r="A422" s="133" t="s">
        <v>1389</v>
      </c>
      <c r="B422" s="255" t="s">
        <v>1415</v>
      </c>
      <c r="C422" s="129" t="s">
        <v>178</v>
      </c>
      <c r="D422" s="277">
        <f>LOOKUP(A422,'[3]PT'!$A$2:$A$725,'[3]PT'!$D$2:$D$725)</f>
        <v>2.5978</v>
      </c>
      <c r="E422" s="366">
        <v>0.55</v>
      </c>
      <c r="F422" s="324"/>
      <c r="G422" s="323"/>
      <c r="H422" s="302"/>
      <c r="O422" s="326" t="e">
        <f>D422/#REF!</f>
        <v>#REF!</v>
      </c>
    </row>
    <row r="423" spans="1:15" ht="15" customHeight="1">
      <c r="A423" s="133" t="s">
        <v>1390</v>
      </c>
      <c r="B423" s="255" t="s">
        <v>1416</v>
      </c>
      <c r="C423" s="129" t="s">
        <v>178</v>
      </c>
      <c r="D423" s="277">
        <f>LOOKUP(A423,'[3]PT'!$A$2:$A$725,'[3]PT'!$D$2:$D$725)</f>
        <v>4.1118</v>
      </c>
      <c r="E423" s="366">
        <v>0.86</v>
      </c>
      <c r="F423" s="324"/>
      <c r="G423" s="323"/>
      <c r="H423" s="302"/>
      <c r="O423" s="326" t="e">
        <f>D423/#REF!</f>
        <v>#REF!</v>
      </c>
    </row>
    <row r="424" spans="1:15" ht="15" customHeight="1">
      <c r="A424" s="133" t="s">
        <v>1391</v>
      </c>
      <c r="B424" s="255" t="s">
        <v>1417</v>
      </c>
      <c r="C424" s="129" t="s">
        <v>178</v>
      </c>
      <c r="D424" s="277">
        <f>LOOKUP(A424,'[3]PT'!$A$2:$A$725,'[3]PT'!$D$2:$D$725)</f>
        <v>45.1325</v>
      </c>
      <c r="E424" s="366">
        <v>7.34</v>
      </c>
      <c r="F424" s="324"/>
      <c r="G424" s="323"/>
      <c r="H424" s="302"/>
      <c r="O424" s="326" t="e">
        <f>D424/#REF!</f>
        <v>#REF!</v>
      </c>
    </row>
    <row r="425" spans="1:15" ht="15" customHeight="1">
      <c r="A425" s="133" t="s">
        <v>1392</v>
      </c>
      <c r="B425" s="255" t="s">
        <v>1418</v>
      </c>
      <c r="C425" s="129" t="s">
        <v>178</v>
      </c>
      <c r="D425" s="277">
        <f>LOOKUP(A425,'[3]PT'!$A$2:$A$725,'[3]PT'!$D$2:$D$725)</f>
        <v>65.0122</v>
      </c>
      <c r="E425" s="366">
        <v>10.14</v>
      </c>
      <c r="F425" s="324"/>
      <c r="G425" s="323"/>
      <c r="H425" s="302"/>
      <c r="O425" s="326" t="e">
        <f>D425/#REF!</f>
        <v>#REF!</v>
      </c>
    </row>
    <row r="426" spans="1:15" ht="15" customHeight="1">
      <c r="A426" s="136" t="s">
        <v>1393</v>
      </c>
      <c r="B426" s="255" t="s">
        <v>1420</v>
      </c>
      <c r="C426" s="129" t="s">
        <v>178</v>
      </c>
      <c r="D426" s="277">
        <f>LOOKUP(A426,'[3]PT'!$A$2:$A$725,'[3]PT'!$D$2:$D$725)</f>
        <v>65.0122</v>
      </c>
      <c r="E426" s="369">
        <f>E378</f>
        <v>8.17</v>
      </c>
      <c r="F426" s="394"/>
      <c r="G426" s="323"/>
      <c r="H426" s="302"/>
      <c r="O426" s="326" t="e">
        <f>D426/#REF!</f>
        <v>#REF!</v>
      </c>
    </row>
    <row r="427" spans="1:15" ht="15" customHeight="1">
      <c r="A427" s="136" t="s">
        <v>1434</v>
      </c>
      <c r="B427" s="255" t="s">
        <v>1421</v>
      </c>
      <c r="C427" s="129" t="s">
        <v>178</v>
      </c>
      <c r="D427" s="277">
        <f>LOOKUP(A427,'[3]PT'!$A$2:$A$725,'[3]PT'!$D$2:$D$725)</f>
        <v>86.9914</v>
      </c>
      <c r="E427" s="398">
        <f>E397</f>
        <v>7.58</v>
      </c>
      <c r="F427" s="324"/>
      <c r="G427" s="323"/>
      <c r="H427" s="302"/>
      <c r="O427" s="326" t="e">
        <f>D427/#REF!</f>
        <v>#REF!</v>
      </c>
    </row>
    <row r="428" spans="1:15" ht="15" customHeight="1">
      <c r="A428" s="136" t="s">
        <v>1394</v>
      </c>
      <c r="B428" s="255" t="s">
        <v>1419</v>
      </c>
      <c r="C428" s="129" t="s">
        <v>178</v>
      </c>
      <c r="D428" s="277">
        <f>LOOKUP(A428,'[3]PT'!$A$2:$A$725,'[3]PT'!$D$2:$D$725)</f>
        <v>65.0122</v>
      </c>
      <c r="E428" s="399">
        <v>7.62</v>
      </c>
      <c r="F428" s="324"/>
      <c r="G428" s="323"/>
      <c r="H428" s="302"/>
      <c r="O428" s="326" t="e">
        <f>D428/#REF!</f>
        <v>#REF!</v>
      </c>
    </row>
    <row r="429" spans="1:15" ht="15" customHeight="1">
      <c r="A429" s="133" t="s">
        <v>1395</v>
      </c>
      <c r="B429" s="255" t="s">
        <v>1422</v>
      </c>
      <c r="C429" s="129" t="s">
        <v>178</v>
      </c>
      <c r="D429" s="277">
        <f>LOOKUP(A429,'[3]PT'!$A$2:$A$725,'[3]PT'!$D$2:$D$725)</f>
        <v>66.0344</v>
      </c>
      <c r="E429" s="366">
        <v>5.23</v>
      </c>
      <c r="F429" s="324"/>
      <c r="G429" s="323"/>
      <c r="H429" s="302"/>
      <c r="O429" s="326" t="e">
        <f>D429/#REF!</f>
        <v>#REF!</v>
      </c>
    </row>
    <row r="430" spans="1:15" ht="15" customHeight="1">
      <c r="A430" s="133" t="s">
        <v>1396</v>
      </c>
      <c r="B430" s="255" t="s">
        <v>1423</v>
      </c>
      <c r="C430" s="129" t="s">
        <v>178</v>
      </c>
      <c r="D430" s="277">
        <f>LOOKUP(A430,'[3]PT'!$A$2:$A$725,'[3]PT'!$D$2:$D$725)</f>
        <v>32.9072</v>
      </c>
      <c r="E430" s="366">
        <v>5.83</v>
      </c>
      <c r="F430" s="324"/>
      <c r="G430" s="323"/>
      <c r="H430" s="302"/>
      <c r="O430" s="326" t="e">
        <f>D430/#REF!</f>
        <v>#REF!</v>
      </c>
    </row>
    <row r="431" spans="1:15" ht="15" customHeight="1">
      <c r="A431" s="133" t="s">
        <v>1369</v>
      </c>
      <c r="B431" s="258" t="s">
        <v>1042</v>
      </c>
      <c r="C431" s="127" t="s">
        <v>1937</v>
      </c>
      <c r="D431" s="277">
        <f>LOOKUP(A431,'[3]PT'!$A$2:$A$725,'[3]PT'!$D$2:$D$725)</f>
        <v>33.94</v>
      </c>
      <c r="E431" s="366">
        <v>5.8182</v>
      </c>
      <c r="F431" s="357"/>
      <c r="G431" s="397"/>
      <c r="H431" s="302" t="s">
        <v>1263</v>
      </c>
      <c r="L431" s="251">
        <v>2</v>
      </c>
      <c r="O431" s="326" t="e">
        <f>D431/#REF!</f>
        <v>#REF!</v>
      </c>
    </row>
    <row r="432" spans="1:15" ht="15" customHeight="1">
      <c r="A432" s="133" t="s">
        <v>1652</v>
      </c>
      <c r="B432" s="254" t="s">
        <v>1967</v>
      </c>
      <c r="C432" s="127" t="s">
        <v>1937</v>
      </c>
      <c r="D432" s="277">
        <f>LOOKUP(A432,'[3]PT'!$A$2:$A$725,'[3]PT'!$D$2:$D$725)</f>
        <v>57.02</v>
      </c>
      <c r="E432" s="366">
        <v>13.8843</v>
      </c>
      <c r="F432" s="324"/>
      <c r="G432" s="323"/>
      <c r="H432" s="302" t="s">
        <v>1235</v>
      </c>
      <c r="L432" s="251">
        <v>1</v>
      </c>
      <c r="O432" s="326" t="e">
        <f>D432/#REF!</f>
        <v>#REF!</v>
      </c>
    </row>
    <row r="433" spans="1:15" ht="15" customHeight="1">
      <c r="A433" s="133" t="s">
        <v>1883</v>
      </c>
      <c r="B433" s="254" t="s">
        <v>1968</v>
      </c>
      <c r="C433" s="127" t="s">
        <v>1937</v>
      </c>
      <c r="D433" s="277">
        <f>LOOKUP(A433,'[3]PT'!$A$2:$A$725,'[3]PT'!$D$2:$D$725)</f>
        <v>83.83</v>
      </c>
      <c r="E433" s="366">
        <v>15.7025</v>
      </c>
      <c r="F433" s="324"/>
      <c r="G433" s="323"/>
      <c r="H433" s="302" t="s">
        <v>1235</v>
      </c>
      <c r="L433" s="251">
        <v>1</v>
      </c>
      <c r="O433" s="326" t="e">
        <f>D433/#REF!</f>
        <v>#REF!</v>
      </c>
    </row>
    <row r="434" spans="1:15" ht="15" customHeight="1">
      <c r="A434" s="213" t="s">
        <v>1016</v>
      </c>
      <c r="B434" s="254" t="s">
        <v>91</v>
      </c>
      <c r="C434" s="208" t="s">
        <v>1937</v>
      </c>
      <c r="D434" s="277">
        <f>LOOKUP(A434,'[3]PT'!$A$2:$A$725,'[3]PT'!$D$2:$D$725)</f>
        <v>54.288</v>
      </c>
      <c r="E434" s="366">
        <v>11.23</v>
      </c>
      <c r="F434" s="324"/>
      <c r="G434" s="352"/>
      <c r="H434" s="302" t="s">
        <v>1240</v>
      </c>
      <c r="L434" s="251">
        <v>2</v>
      </c>
      <c r="O434" s="326" t="e">
        <f>D434/#REF!</f>
        <v>#REF!</v>
      </c>
    </row>
    <row r="435" spans="1:15" ht="15" customHeight="1">
      <c r="A435" s="213" t="s">
        <v>1030</v>
      </c>
      <c r="B435" s="254" t="s">
        <v>92</v>
      </c>
      <c r="C435" s="127" t="s">
        <v>1937</v>
      </c>
      <c r="D435" s="277">
        <f>LOOKUP(A435,'[3]PT'!$A$2:$A$725,'[3]PT'!$D$2:$D$725)</f>
        <v>57.89</v>
      </c>
      <c r="E435" s="366">
        <v>11.2</v>
      </c>
      <c r="F435" s="357"/>
      <c r="G435" s="352"/>
      <c r="H435" s="358" t="s">
        <v>1240</v>
      </c>
      <c r="L435" s="251">
        <v>2</v>
      </c>
      <c r="O435" s="326" t="e">
        <f>D435/#REF!</f>
        <v>#REF!</v>
      </c>
    </row>
    <row r="436" spans="1:15" ht="15" customHeight="1">
      <c r="A436" s="133" t="s">
        <v>93</v>
      </c>
      <c r="B436" s="254" t="s">
        <v>94</v>
      </c>
      <c r="C436" s="127" t="s">
        <v>178</v>
      </c>
      <c r="D436" s="277">
        <f>LOOKUP(A436,'[3]PT'!$A$2:$A$725,'[3]PT'!$D$2:$D$725)</f>
        <v>5.72</v>
      </c>
      <c r="E436" s="328">
        <v>0.62</v>
      </c>
      <c r="F436" s="324"/>
      <c r="G436" s="323"/>
      <c r="H436" s="302" t="s">
        <v>1238</v>
      </c>
      <c r="L436" s="251">
        <v>1</v>
      </c>
      <c r="O436" s="326" t="e">
        <f>D436/#REF!</f>
        <v>#REF!</v>
      </c>
    </row>
    <row r="437" spans="1:15" ht="15" customHeight="1">
      <c r="A437" s="133" t="s">
        <v>1655</v>
      </c>
      <c r="B437" s="254" t="s">
        <v>1950</v>
      </c>
      <c r="C437" s="127" t="s">
        <v>178</v>
      </c>
      <c r="D437" s="277">
        <f>LOOKUP(A437,'[3]PT'!$A$2:$A$725,'[3]PT'!$D$2:$D$725)</f>
        <v>7.0112</v>
      </c>
      <c r="E437" s="328">
        <v>0.79</v>
      </c>
      <c r="F437" s="324"/>
      <c r="G437" s="323"/>
      <c r="H437" s="302" t="s">
        <v>1238</v>
      </c>
      <c r="L437" s="251">
        <v>1</v>
      </c>
      <c r="O437" s="326" t="e">
        <f>D437/#REF!</f>
        <v>#REF!</v>
      </c>
    </row>
    <row r="438" spans="1:15" ht="15" customHeight="1">
      <c r="A438" s="133" t="s">
        <v>95</v>
      </c>
      <c r="B438" s="254" t="s">
        <v>32</v>
      </c>
      <c r="C438" s="127" t="s">
        <v>1937</v>
      </c>
      <c r="D438" s="277">
        <f>LOOKUP(A438,'[3]PT'!$A$2:$A$725,'[3]PT'!$D$2:$D$725)</f>
        <v>131.4361</v>
      </c>
      <c r="E438" s="328">
        <v>32.1543</v>
      </c>
      <c r="F438" s="324"/>
      <c r="G438" s="323"/>
      <c r="H438" s="302" t="s">
        <v>1176</v>
      </c>
      <c r="L438" s="251">
        <v>3</v>
      </c>
      <c r="O438" s="326" t="e">
        <f>D438/#REF!</f>
        <v>#REF!</v>
      </c>
    </row>
    <row r="439" spans="1:15" ht="15" customHeight="1">
      <c r="A439" s="133" t="s">
        <v>96</v>
      </c>
      <c r="B439" s="254" t="s">
        <v>97</v>
      </c>
      <c r="C439" s="127" t="s">
        <v>1937</v>
      </c>
      <c r="D439" s="277">
        <f>LOOKUP(A439,'[3]PT'!$A$2:$A$725,'[3]PT'!$D$2:$D$725)</f>
        <v>192.7969</v>
      </c>
      <c r="E439" s="328">
        <v>44.697</v>
      </c>
      <c r="F439" s="357"/>
      <c r="G439" s="323"/>
      <c r="H439" s="302"/>
      <c r="L439" s="251">
        <v>3</v>
      </c>
      <c r="O439" s="326" t="e">
        <f>D439/#REF!</f>
        <v>#REF!</v>
      </c>
    </row>
    <row r="440" spans="1:15" ht="15" customHeight="1">
      <c r="A440" s="127" t="s">
        <v>1664</v>
      </c>
      <c r="B440" s="254" t="s">
        <v>1980</v>
      </c>
      <c r="C440" s="127" t="s">
        <v>1937</v>
      </c>
      <c r="D440" s="277">
        <f>LOOKUP(A440,'[3]PT'!$A$2:$A$725,'[3]PT'!$D$2:$D$725)</f>
        <v>112.6467</v>
      </c>
      <c r="E440" s="328">
        <v>23.7438</v>
      </c>
      <c r="F440" s="324"/>
      <c r="G440" s="323"/>
      <c r="H440" s="302"/>
      <c r="L440" s="251">
        <v>3</v>
      </c>
      <c r="O440" s="326" t="e">
        <f>D440/#REF!</f>
        <v>#REF!</v>
      </c>
    </row>
    <row r="441" spans="1:15" ht="15" customHeight="1" thickBot="1">
      <c r="A441" s="127" t="s">
        <v>31</v>
      </c>
      <c r="B441" s="254" t="s">
        <v>98</v>
      </c>
      <c r="C441" s="127" t="s">
        <v>1937</v>
      </c>
      <c r="D441" s="277">
        <f>LOOKUP(A441,'[3]PT'!$A$2:$A$725,'[3]PT'!$D$2:$D$725)</f>
        <v>113.99</v>
      </c>
      <c r="E441" s="400">
        <v>39.13</v>
      </c>
      <c r="F441" s="401"/>
      <c r="G441" s="402"/>
      <c r="H441" s="302"/>
      <c r="L441" s="251">
        <v>3</v>
      </c>
      <c r="O441" s="326" t="e">
        <f>D441/#REF!</f>
        <v>#REF!</v>
      </c>
    </row>
    <row r="442" spans="4:15" ht="15">
      <c r="D442" s="403"/>
      <c r="E442" s="142">
        <v>39.1322</v>
      </c>
      <c r="L442" s="251">
        <f>SUM(L6:L441)</f>
        <v>456</v>
      </c>
      <c r="O442" s="251" t="e">
        <f>D526/#REF!</f>
        <v>#REF!</v>
      </c>
    </row>
    <row r="443" ht="15">
      <c r="D443" s="403"/>
    </row>
    <row r="444" ht="15">
      <c r="D444" s="403"/>
    </row>
    <row r="445" ht="15">
      <c r="D445" s="403"/>
    </row>
    <row r="446" spans="1:18" s="89" customFormat="1" ht="15.75">
      <c r="A446" s="236" t="s">
        <v>1511</v>
      </c>
      <c r="B446" s="260"/>
      <c r="C446" s="141"/>
      <c r="D446" s="403"/>
      <c r="E446" s="405"/>
      <c r="F446" s="406"/>
      <c r="G446" s="407"/>
      <c r="H446" s="260"/>
      <c r="I446" s="260"/>
      <c r="J446" s="260"/>
      <c r="K446" s="260"/>
      <c r="L446" s="260"/>
      <c r="M446" s="260"/>
      <c r="N446" s="260"/>
      <c r="O446" s="260"/>
      <c r="P446" s="260"/>
      <c r="Q446" s="413"/>
      <c r="R446" s="15"/>
    </row>
    <row r="447" spans="2:4" ht="15">
      <c r="B447" s="261"/>
      <c r="C447" s="150"/>
      <c r="D447" s="403"/>
    </row>
    <row r="448" spans="1:4" ht="15" customHeight="1">
      <c r="A448" s="237" t="s">
        <v>1480</v>
      </c>
      <c r="B448" s="147" t="s">
        <v>1496</v>
      </c>
      <c r="C448" s="182" t="s">
        <v>178</v>
      </c>
      <c r="D448" s="277">
        <f>LOOKUP(A448,'[3]PT'!$A$2:$A$725,'[3]PT'!$D$2:$D$725)</f>
        <v>861091</v>
      </c>
    </row>
    <row r="449" spans="1:4" ht="15" customHeight="1">
      <c r="A449" s="238" t="s">
        <v>1481</v>
      </c>
      <c r="B449" s="147" t="s">
        <v>1497</v>
      </c>
      <c r="C449" s="182" t="s">
        <v>178</v>
      </c>
      <c r="D449" s="277">
        <f>LOOKUP(A449,'[3]PT'!$A$2:$A$725,'[3]PT'!$D$2:$D$725)</f>
        <v>2056824</v>
      </c>
    </row>
    <row r="450" spans="1:4" ht="15" customHeight="1">
      <c r="A450" s="238" t="s">
        <v>1482</v>
      </c>
      <c r="B450" s="147" t="s">
        <v>1498</v>
      </c>
      <c r="C450" s="182" t="s">
        <v>178</v>
      </c>
      <c r="D450" s="277">
        <f>LOOKUP(A450,'[3]PT'!$A$2:$A$725,'[3]PT'!$D$2:$D$725)</f>
        <v>1820126</v>
      </c>
    </row>
    <row r="451" spans="1:4" ht="15" customHeight="1">
      <c r="A451" s="238" t="s">
        <v>1483</v>
      </c>
      <c r="B451" s="147" t="s">
        <v>1499</v>
      </c>
      <c r="C451" s="182" t="s">
        <v>178</v>
      </c>
      <c r="D451" s="277">
        <f>LOOKUP(A451,'[3]PT'!$A$2:$A$725,'[3]PT'!$D$2:$D$725)</f>
        <v>925200.15</v>
      </c>
    </row>
    <row r="452" spans="1:4" ht="15" customHeight="1">
      <c r="A452" s="238" t="s">
        <v>1484</v>
      </c>
      <c r="B452" s="147" t="s">
        <v>1500</v>
      </c>
      <c r="C452" s="182" t="s">
        <v>178</v>
      </c>
      <c r="D452" s="277">
        <f>LOOKUP(A452,'[3]PT'!$A$2:$A$725,'[3]PT'!$D$2:$D$725)</f>
        <v>4978820</v>
      </c>
    </row>
    <row r="453" spans="1:4" ht="15" customHeight="1">
      <c r="A453" s="238" t="s">
        <v>1485</v>
      </c>
      <c r="B453" s="147" t="s">
        <v>1746</v>
      </c>
      <c r="C453" s="182" t="s">
        <v>178</v>
      </c>
      <c r="D453" s="277">
        <f>LOOKUP(A453,'[3]PT'!$A$2:$A$725,'[3]PT'!$D$2:$D$725)</f>
        <v>27783.45</v>
      </c>
    </row>
    <row r="454" spans="1:4" ht="15" customHeight="1">
      <c r="A454" s="238" t="s">
        <v>1486</v>
      </c>
      <c r="B454" s="147" t="s">
        <v>1501</v>
      </c>
      <c r="C454" s="182" t="s">
        <v>178</v>
      </c>
      <c r="D454" s="277">
        <f>LOOKUP(A454,'[3]PT'!$A$2:$A$725,'[3]PT'!$D$2:$D$725)</f>
        <v>6080.69</v>
      </c>
    </row>
    <row r="455" spans="1:4" ht="15" customHeight="1">
      <c r="A455" s="238" t="s">
        <v>1487</v>
      </c>
      <c r="B455" s="147" t="s">
        <v>1502</v>
      </c>
      <c r="C455" s="182" t="s">
        <v>178</v>
      </c>
      <c r="D455" s="277">
        <f>LOOKUP(A455,'[3]PT'!$A$2:$A$725,'[3]PT'!$D$2:$D$725)</f>
        <v>19833.66</v>
      </c>
    </row>
    <row r="456" spans="1:4" ht="15" customHeight="1">
      <c r="A456" s="238" t="s">
        <v>1488</v>
      </c>
      <c r="B456" s="147" t="s">
        <v>1503</v>
      </c>
      <c r="C456" s="182" t="s">
        <v>178</v>
      </c>
      <c r="D456" s="277">
        <f>LOOKUP(A456,'[3]PT'!$A$2:$A$725,'[3]PT'!$D$2:$D$725)</f>
        <v>85994.83</v>
      </c>
    </row>
    <row r="457" spans="1:4" ht="15" customHeight="1">
      <c r="A457" s="239" t="s">
        <v>1489</v>
      </c>
      <c r="B457" s="148" t="s">
        <v>1504</v>
      </c>
      <c r="C457" s="183" t="s">
        <v>178</v>
      </c>
      <c r="D457" s="277">
        <f>LOOKUP(A457,'[3]PT'!$A$2:$A$725,'[3]PT'!$D$2:$D$725)</f>
        <v>859764.71</v>
      </c>
    </row>
    <row r="458" spans="1:4" ht="15" customHeight="1">
      <c r="A458" s="238" t="s">
        <v>1490</v>
      </c>
      <c r="B458" s="147" t="s">
        <v>1505</v>
      </c>
      <c r="C458" s="182" t="s">
        <v>178</v>
      </c>
      <c r="D458" s="277">
        <f>LOOKUP(A458,'[3]PT'!$A$2:$A$725,'[3]PT'!$D$2:$D$725)</f>
        <v>20445.81</v>
      </c>
    </row>
    <row r="459" spans="1:4" ht="15" customHeight="1">
      <c r="A459" s="238" t="s">
        <v>1491</v>
      </c>
      <c r="B459" s="147" t="s">
        <v>1506</v>
      </c>
      <c r="C459" s="182" t="s">
        <v>178</v>
      </c>
      <c r="D459" s="277">
        <f>LOOKUP(A459,'[3]PT'!$A$2:$A$725,'[3]PT'!$D$2:$D$725)</f>
        <v>183645</v>
      </c>
    </row>
    <row r="460" spans="1:4" ht="15" customHeight="1">
      <c r="A460" s="238" t="s">
        <v>1492</v>
      </c>
      <c r="B460" s="147" t="s">
        <v>1507</v>
      </c>
      <c r="C460" s="182" t="s">
        <v>178</v>
      </c>
      <c r="D460" s="277">
        <f>LOOKUP(A460,'[3]PT'!$A$2:$A$725,'[3]PT'!$D$2:$D$725)</f>
        <v>183645</v>
      </c>
    </row>
    <row r="461" spans="1:4" ht="15" customHeight="1">
      <c r="A461" s="238" t="s">
        <v>1493</v>
      </c>
      <c r="B461" s="147" t="s">
        <v>1508</v>
      </c>
      <c r="C461" s="182" t="s">
        <v>178</v>
      </c>
      <c r="D461" s="277">
        <f>LOOKUP(A461,'[3]PT'!$A$2:$A$725,'[3]PT'!$D$2:$D$725)</f>
        <v>114000</v>
      </c>
    </row>
    <row r="462" spans="1:4" ht="15" customHeight="1">
      <c r="A462" s="238" t="s">
        <v>1494</v>
      </c>
      <c r="B462" s="147" t="s">
        <v>1509</v>
      </c>
      <c r="C462" s="182" t="s">
        <v>178</v>
      </c>
      <c r="D462" s="277">
        <f>LOOKUP(A462,'[3]PT'!$A$2:$A$725,'[3]PT'!$D$2:$D$725)</f>
        <v>278000</v>
      </c>
    </row>
    <row r="463" spans="1:4" ht="15" customHeight="1" thickBot="1">
      <c r="A463" s="240" t="s">
        <v>1495</v>
      </c>
      <c r="B463" s="149" t="s">
        <v>1510</v>
      </c>
      <c r="C463" s="184" t="s">
        <v>178</v>
      </c>
      <c r="D463" s="277">
        <f>LOOKUP(A463,'[3]PT'!$A$2:$A$725,'[3]PT'!$D$2:$D$725)</f>
        <v>184000</v>
      </c>
    </row>
    <row r="464" spans="1:4" ht="15" customHeight="1">
      <c r="A464" s="241" t="s">
        <v>1011</v>
      </c>
      <c r="B464" s="146" t="s">
        <v>1516</v>
      </c>
      <c r="C464" s="181" t="s">
        <v>1810</v>
      </c>
      <c r="D464" s="277">
        <f>LOOKUP(A464,'[3]PT'!$A$2:$A$725,'[3]PT'!$D$2:$D$725)</f>
        <v>1746.67</v>
      </c>
    </row>
    <row r="465" spans="1:4" ht="15" customHeight="1">
      <c r="A465" s="242" t="s">
        <v>1517</v>
      </c>
      <c r="B465" s="147" t="s">
        <v>1528</v>
      </c>
      <c r="C465" s="185" t="s">
        <v>178</v>
      </c>
      <c r="D465" s="277">
        <f>LOOKUP(A465,'[3]PT'!$A$2:$A$725,'[3]PT'!$D$2:$D$725)</f>
        <v>2768.6</v>
      </c>
    </row>
    <row r="466" spans="1:4" ht="15" customHeight="1">
      <c r="A466" s="242" t="s">
        <v>1518</v>
      </c>
      <c r="B466" s="147" t="s">
        <v>1529</v>
      </c>
      <c r="C466" s="185" t="s">
        <v>178</v>
      </c>
      <c r="D466" s="277">
        <f>LOOKUP(A466,'[3]PT'!$A$2:$A$725,'[3]PT'!$D$2:$D$725)</f>
        <v>376.03</v>
      </c>
    </row>
    <row r="467" spans="1:4" ht="15" customHeight="1">
      <c r="A467" s="242" t="s">
        <v>1519</v>
      </c>
      <c r="B467" s="147" t="s">
        <v>1530</v>
      </c>
      <c r="C467" s="185" t="s">
        <v>178</v>
      </c>
      <c r="D467" s="277">
        <f>LOOKUP(A467,'[3]PT'!$A$2:$A$725,'[3]PT'!$D$2:$D$725)</f>
        <v>422.31</v>
      </c>
    </row>
    <row r="468" spans="1:4" ht="15" customHeight="1">
      <c r="A468" s="242" t="s">
        <v>1520</v>
      </c>
      <c r="B468" s="147" t="s">
        <v>1531</v>
      </c>
      <c r="C468" s="185" t="s">
        <v>178</v>
      </c>
      <c r="D468" s="277">
        <f>LOOKUP(A468,'[3]PT'!$A$2:$A$725,'[3]PT'!$D$2:$D$725)</f>
        <v>46.28</v>
      </c>
    </row>
    <row r="469" spans="1:4" ht="15" customHeight="1">
      <c r="A469" s="242" t="s">
        <v>1521</v>
      </c>
      <c r="B469" s="147" t="s">
        <v>1532</v>
      </c>
      <c r="C469" s="185" t="s">
        <v>178</v>
      </c>
      <c r="D469" s="277">
        <f>LOOKUP(A469,'[3]PT'!$A$2:$A$725,'[3]PT'!$D$2:$D$725)</f>
        <v>145.45</v>
      </c>
    </row>
    <row r="470" spans="1:4" ht="15" customHeight="1">
      <c r="A470" s="242" t="s">
        <v>1522</v>
      </c>
      <c r="B470" s="147" t="s">
        <v>1533</v>
      </c>
      <c r="C470" s="185" t="s">
        <v>178</v>
      </c>
      <c r="D470" s="277">
        <f>LOOKUP(A470,'[3]PT'!$A$2:$A$725,'[3]PT'!$D$2:$D$725)</f>
        <v>13.22</v>
      </c>
    </row>
    <row r="471" spans="1:4" ht="15" customHeight="1">
      <c r="A471" s="242" t="s">
        <v>1523</v>
      </c>
      <c r="B471" s="147" t="s">
        <v>1534</v>
      </c>
      <c r="C471" s="185" t="s">
        <v>178</v>
      </c>
      <c r="D471" s="277">
        <f>LOOKUP(A471,'[3]PT'!$A$2:$A$725,'[3]PT'!$D$2:$D$725)</f>
        <v>85.12</v>
      </c>
    </row>
    <row r="472" spans="1:4" ht="15" customHeight="1">
      <c r="A472" s="242" t="s">
        <v>1524</v>
      </c>
      <c r="B472" s="147" t="s">
        <v>1535</v>
      </c>
      <c r="C472" s="185" t="s">
        <v>178</v>
      </c>
      <c r="D472" s="277">
        <f>LOOKUP(A472,'[3]PT'!$A$2:$A$725,'[3]PT'!$D$2:$D$725)</f>
        <v>19.83</v>
      </c>
    </row>
    <row r="473" spans="1:4" ht="15" customHeight="1">
      <c r="A473" s="242" t="s">
        <v>1525</v>
      </c>
      <c r="B473" s="147" t="s">
        <v>1536</v>
      </c>
      <c r="C473" s="185" t="s">
        <v>178</v>
      </c>
      <c r="D473" s="277">
        <f>LOOKUP(A473,'[3]PT'!$A$2:$A$725,'[3]PT'!$D$2:$D$725)</f>
        <v>676.03</v>
      </c>
    </row>
    <row r="474" spans="1:4" ht="15" customHeight="1">
      <c r="A474" s="242" t="s">
        <v>1526</v>
      </c>
      <c r="B474" s="147" t="s">
        <v>1537</v>
      </c>
      <c r="C474" s="185" t="s">
        <v>178</v>
      </c>
      <c r="D474" s="277">
        <f>LOOKUP(A474,'[3]PT'!$A$2:$A$725,'[3]PT'!$D$2:$D$725)</f>
        <v>2095.04</v>
      </c>
    </row>
    <row r="475" spans="1:4" ht="15" customHeight="1" thickBot="1">
      <c r="A475" s="243" t="s">
        <v>1527</v>
      </c>
      <c r="B475" s="149" t="s">
        <v>1538</v>
      </c>
      <c r="C475" s="186" t="s">
        <v>178</v>
      </c>
      <c r="D475" s="277">
        <f>LOOKUP(A475,'[3]PT'!$A$2:$A$725,'[3]PT'!$D$2:$D$725)</f>
        <v>3472.73</v>
      </c>
    </row>
    <row r="476" spans="1:4" ht="15" customHeight="1">
      <c r="A476" s="244" t="s">
        <v>1555</v>
      </c>
      <c r="B476" s="171" t="s">
        <v>1462</v>
      </c>
      <c r="C476" s="187" t="s">
        <v>1810</v>
      </c>
      <c r="D476" s="277">
        <f>LOOKUP(A476,'[3]PT'!$A$2:$A$725,'[3]PT'!$D$2:$D$725)</f>
        <v>2.9018</v>
      </c>
    </row>
    <row r="477" spans="1:4" ht="15" customHeight="1">
      <c r="A477" s="182" t="s">
        <v>1556</v>
      </c>
      <c r="B477" s="170" t="s">
        <v>1602</v>
      </c>
      <c r="C477" s="188" t="s">
        <v>178</v>
      </c>
      <c r="D477" s="277">
        <f>LOOKUP(A477,'[3]PT'!$A$2:$A$725,'[3]PT'!$D$2:$D$725)</f>
        <v>71.2733</v>
      </c>
    </row>
    <row r="478" spans="1:4" ht="15" customHeight="1">
      <c r="A478" s="182" t="s">
        <v>1557</v>
      </c>
      <c r="B478" s="170" t="s">
        <v>1603</v>
      </c>
      <c r="C478" s="188" t="s">
        <v>178</v>
      </c>
      <c r="D478" s="277">
        <f>LOOKUP(A478,'[3]PT'!$A$2:$A$725,'[3]PT'!$D$2:$D$725)</f>
        <v>153.13</v>
      </c>
    </row>
    <row r="479" spans="1:4" ht="15" customHeight="1">
      <c r="A479" s="182" t="s">
        <v>1558</v>
      </c>
      <c r="B479" s="170" t="s">
        <v>1473</v>
      </c>
      <c r="C479" s="188" t="s">
        <v>1810</v>
      </c>
      <c r="D479" s="277">
        <f>LOOKUP(A479,'[3]PT'!$A$2:$A$725,'[3]PT'!$D$2:$D$725)</f>
        <v>7.4956</v>
      </c>
    </row>
    <row r="480" spans="1:4" ht="15" customHeight="1">
      <c r="A480" s="182" t="s">
        <v>1559</v>
      </c>
      <c r="B480" s="170" t="s">
        <v>1604</v>
      </c>
      <c r="C480" s="188" t="s">
        <v>1810</v>
      </c>
      <c r="D480" s="277">
        <f>LOOKUP(A480,'[3]PT'!$A$2:$A$725,'[3]PT'!$D$2:$D$725)</f>
        <v>4.1167</v>
      </c>
    </row>
    <row r="481" spans="1:4" ht="15" customHeight="1">
      <c r="A481" s="182" t="s">
        <v>1560</v>
      </c>
      <c r="B481" s="170" t="s">
        <v>1605</v>
      </c>
      <c r="C481" s="188" t="s">
        <v>1810</v>
      </c>
      <c r="D481" s="277">
        <f>LOOKUP(A481,'[3]PT'!$A$2:$A$725,'[3]PT'!$D$2:$D$725)</f>
        <v>19.99</v>
      </c>
    </row>
    <row r="482" spans="1:4" ht="15" customHeight="1">
      <c r="A482" s="182" t="s">
        <v>1561</v>
      </c>
      <c r="B482" s="170" t="s">
        <v>1606</v>
      </c>
      <c r="C482" s="188" t="s">
        <v>1810</v>
      </c>
      <c r="D482" s="277">
        <f>LOOKUP(A482,'[3]PT'!$A$2:$A$725,'[3]PT'!$D$2:$D$725)</f>
        <v>40.71</v>
      </c>
    </row>
    <row r="483" spans="1:4" ht="15" customHeight="1">
      <c r="A483" s="182" t="s">
        <v>1562</v>
      </c>
      <c r="B483" s="170" t="s">
        <v>1607</v>
      </c>
      <c r="C483" s="188" t="s">
        <v>1810</v>
      </c>
      <c r="D483" s="277">
        <f>LOOKUP(A483,'[3]PT'!$A$2:$A$725,'[3]PT'!$D$2:$D$725)</f>
        <v>2.74</v>
      </c>
    </row>
    <row r="484" spans="1:4" ht="15" customHeight="1">
      <c r="A484" s="182" t="s">
        <v>1563</v>
      </c>
      <c r="B484" s="170" t="s">
        <v>1454</v>
      </c>
      <c r="C484" s="188" t="s">
        <v>178</v>
      </c>
      <c r="D484" s="277">
        <f>LOOKUP(A484,'[3]PT'!$A$2:$A$725,'[3]PT'!$D$2:$D$725)</f>
        <v>4.0301</v>
      </c>
    </row>
    <row r="485" spans="1:4" ht="15" customHeight="1">
      <c r="A485" s="182" t="s">
        <v>1564</v>
      </c>
      <c r="B485" s="170" t="s">
        <v>1453</v>
      </c>
      <c r="C485" s="188" t="s">
        <v>178</v>
      </c>
      <c r="D485" s="277">
        <f>LOOKUP(A485,'[3]PT'!$A$2:$A$725,'[3]PT'!$D$2:$D$725)</f>
        <v>1.9537</v>
      </c>
    </row>
    <row r="486" spans="1:4" ht="15" customHeight="1">
      <c r="A486" s="182" t="s">
        <v>1565</v>
      </c>
      <c r="B486" s="170" t="s">
        <v>1455</v>
      </c>
      <c r="C486" s="188" t="s">
        <v>178</v>
      </c>
      <c r="D486" s="277">
        <f>LOOKUP(A486,'[3]PT'!$A$2:$A$725,'[3]PT'!$D$2:$D$725)</f>
        <v>7.9502</v>
      </c>
    </row>
    <row r="487" spans="1:4" ht="15" customHeight="1">
      <c r="A487" s="182" t="s">
        <v>1566</v>
      </c>
      <c r="B487" s="170" t="s">
        <v>1608</v>
      </c>
      <c r="C487" s="188" t="s">
        <v>178</v>
      </c>
      <c r="D487" s="277">
        <f>LOOKUP(A487,'[3]PT'!$A$2:$A$725,'[3]PT'!$D$2:$D$725)</f>
        <v>4.1</v>
      </c>
    </row>
    <row r="488" spans="1:4" ht="15" customHeight="1">
      <c r="A488" s="182" t="s">
        <v>1567</v>
      </c>
      <c r="B488" s="170" t="s">
        <v>1609</v>
      </c>
      <c r="C488" s="188" t="s">
        <v>178</v>
      </c>
      <c r="D488" s="277">
        <f>LOOKUP(A488,'[3]PT'!$A$2:$A$725,'[3]PT'!$D$2:$D$725)</f>
        <v>41.5215</v>
      </c>
    </row>
    <row r="489" spans="1:4" ht="15" customHeight="1">
      <c r="A489" s="182" t="s">
        <v>1568</v>
      </c>
      <c r="B489" s="170" t="s">
        <v>1610</v>
      </c>
      <c r="C489" s="188" t="s">
        <v>178</v>
      </c>
      <c r="D489" s="277">
        <f>LOOKUP(A489,'[3]PT'!$A$2:$A$725,'[3]PT'!$D$2:$D$725)</f>
        <v>55.4442</v>
      </c>
    </row>
    <row r="490" spans="1:4" ht="15" customHeight="1">
      <c r="A490" s="182" t="s">
        <v>1569</v>
      </c>
      <c r="B490" s="170" t="s">
        <v>1611</v>
      </c>
      <c r="C490" s="188" t="s">
        <v>178</v>
      </c>
      <c r="D490" s="277">
        <f>LOOKUP(A490,'[3]PT'!$A$2:$A$725,'[3]PT'!$D$2:$D$725)</f>
        <v>28.7167</v>
      </c>
    </row>
    <row r="491" spans="1:4" ht="15" customHeight="1">
      <c r="A491" s="182" t="s">
        <v>1570</v>
      </c>
      <c r="B491" s="170" t="s">
        <v>1612</v>
      </c>
      <c r="C491" s="188" t="s">
        <v>178</v>
      </c>
      <c r="D491" s="277">
        <f>LOOKUP(A491,'[3]PT'!$A$2:$A$725,'[3]PT'!$D$2:$D$725)</f>
        <v>32.304</v>
      </c>
    </row>
    <row r="492" spans="1:4" ht="15" customHeight="1">
      <c r="A492" s="182" t="s">
        <v>1571</v>
      </c>
      <c r="B492" s="170" t="s">
        <v>1440</v>
      </c>
      <c r="C492" s="188" t="s">
        <v>178</v>
      </c>
      <c r="D492" s="277">
        <f>LOOKUP(A492,'[3]PT'!$A$2:$A$725,'[3]PT'!$D$2:$D$725)</f>
        <v>40.8612</v>
      </c>
    </row>
    <row r="493" spans="1:4" ht="15" customHeight="1">
      <c r="A493" s="182" t="s">
        <v>1572</v>
      </c>
      <c r="B493" s="170" t="s">
        <v>1613</v>
      </c>
      <c r="C493" s="188" t="s">
        <v>178</v>
      </c>
      <c r="D493" s="277">
        <f>LOOKUP(A493,'[3]PT'!$A$2:$A$725,'[3]PT'!$D$2:$D$725)</f>
        <v>5.9799</v>
      </c>
    </row>
    <row r="494" spans="1:4" ht="15" customHeight="1">
      <c r="A494" s="182" t="s">
        <v>1573</v>
      </c>
      <c r="B494" s="170" t="s">
        <v>1614</v>
      </c>
      <c r="C494" s="188" t="s">
        <v>178</v>
      </c>
      <c r="D494" s="277">
        <f>LOOKUP(A494,'[3]PT'!$A$2:$A$725,'[3]PT'!$D$2:$D$725)</f>
        <v>5.172</v>
      </c>
    </row>
    <row r="495" spans="1:4" ht="15" customHeight="1">
      <c r="A495" s="182" t="s">
        <v>1574</v>
      </c>
      <c r="B495" s="170" t="s">
        <v>1615</v>
      </c>
      <c r="C495" s="188" t="s">
        <v>1810</v>
      </c>
      <c r="D495" s="277">
        <f>LOOKUP(A495,'[3]PT'!$A$2:$A$725,'[3]PT'!$D$2:$D$725)</f>
        <v>2.02</v>
      </c>
    </row>
    <row r="496" spans="1:4" ht="15" customHeight="1">
      <c r="A496" s="182" t="s">
        <v>1575</v>
      </c>
      <c r="B496" s="170" t="s">
        <v>1616</v>
      </c>
      <c r="C496" s="188" t="s">
        <v>178</v>
      </c>
      <c r="D496" s="277">
        <f>LOOKUP(A496,'[3]PT'!$A$2:$A$725,'[3]PT'!$D$2:$D$725)</f>
        <v>41.07</v>
      </c>
    </row>
    <row r="497" spans="1:4" ht="15" customHeight="1">
      <c r="A497" s="182" t="s">
        <v>1576</v>
      </c>
      <c r="B497" s="170" t="s">
        <v>1617</v>
      </c>
      <c r="C497" s="188" t="s">
        <v>178</v>
      </c>
      <c r="D497" s="277">
        <f>LOOKUP(A497,'[3]PT'!$A$2:$A$725,'[3]PT'!$D$2:$D$725)</f>
        <v>86.615</v>
      </c>
    </row>
    <row r="498" spans="1:4" ht="15" customHeight="1">
      <c r="A498" s="182" t="s">
        <v>1577</v>
      </c>
      <c r="B498" s="170" t="s">
        <v>1618</v>
      </c>
      <c r="C498" s="188" t="s">
        <v>178</v>
      </c>
      <c r="D498" s="277">
        <f>LOOKUP(A498,'[3]PT'!$A$2:$A$725,'[3]PT'!$D$2:$D$725)</f>
        <v>356.1237</v>
      </c>
    </row>
    <row r="499" spans="1:4" ht="15" customHeight="1">
      <c r="A499" s="182" t="s">
        <v>1578</v>
      </c>
      <c r="B499" s="170" t="s">
        <v>1619</v>
      </c>
      <c r="C499" s="188" t="s">
        <v>178</v>
      </c>
      <c r="D499" s="277">
        <f>LOOKUP(A499,'[3]PT'!$A$2:$A$725,'[3]PT'!$D$2:$D$725)</f>
        <v>113.8</v>
      </c>
    </row>
    <row r="500" spans="1:4" ht="15" customHeight="1">
      <c r="A500" s="182" t="s">
        <v>1579</v>
      </c>
      <c r="B500" s="170" t="s">
        <v>1620</v>
      </c>
      <c r="C500" s="188" t="s">
        <v>178</v>
      </c>
      <c r="D500" s="277">
        <f>LOOKUP(A500,'[3]PT'!$A$2:$A$725,'[3]PT'!$D$2:$D$725)</f>
        <v>381.6271</v>
      </c>
    </row>
    <row r="501" spans="1:4" ht="15" customHeight="1">
      <c r="A501" s="182" t="s">
        <v>1580</v>
      </c>
      <c r="B501" s="170" t="s">
        <v>1621</v>
      </c>
      <c r="C501" s="188" t="s">
        <v>178</v>
      </c>
      <c r="D501" s="277">
        <f>LOOKUP(A501,'[3]PT'!$A$2:$A$725,'[3]PT'!$D$2:$D$725)</f>
        <v>680.7357</v>
      </c>
    </row>
    <row r="502" spans="1:4" ht="15" customHeight="1">
      <c r="A502" s="182" t="s">
        <v>1581</v>
      </c>
      <c r="B502" s="170" t="s">
        <v>1622</v>
      </c>
      <c r="C502" s="188" t="s">
        <v>178</v>
      </c>
      <c r="D502" s="277">
        <f>LOOKUP(A502,'[3]PT'!$A$2:$A$725,'[3]PT'!$D$2:$D$725)</f>
        <v>24.265</v>
      </c>
    </row>
    <row r="503" spans="1:4" ht="15" customHeight="1">
      <c r="A503" s="182" t="s">
        <v>1582</v>
      </c>
      <c r="B503" s="170" t="s">
        <v>1623</v>
      </c>
      <c r="C503" s="188" t="s">
        <v>178</v>
      </c>
      <c r="D503" s="277">
        <f>LOOKUP(A503,'[3]PT'!$A$2:$A$725,'[3]PT'!$D$2:$D$725)</f>
        <v>24.035</v>
      </c>
    </row>
    <row r="504" spans="1:4" ht="15" customHeight="1">
      <c r="A504" s="182" t="s">
        <v>1583</v>
      </c>
      <c r="B504" s="170" t="s">
        <v>1624</v>
      </c>
      <c r="C504" s="188" t="s">
        <v>178</v>
      </c>
      <c r="D504" s="277">
        <f>LOOKUP(A504,'[3]PT'!$A$2:$A$725,'[3]PT'!$D$2:$D$725)</f>
        <v>28.76</v>
      </c>
    </row>
    <row r="505" spans="1:4" ht="15" customHeight="1">
      <c r="A505" s="182" t="s">
        <v>1584</v>
      </c>
      <c r="B505" s="170" t="s">
        <v>1625</v>
      </c>
      <c r="C505" s="188" t="s">
        <v>178</v>
      </c>
      <c r="D505" s="277">
        <f>LOOKUP(A505,'[3]PT'!$A$2:$A$725,'[3]PT'!$D$2:$D$725)</f>
        <v>373.4116</v>
      </c>
    </row>
    <row r="506" spans="1:4" ht="15" customHeight="1">
      <c r="A506" s="182" t="s">
        <v>1585</v>
      </c>
      <c r="B506" s="170" t="s">
        <v>1626</v>
      </c>
      <c r="C506" s="188" t="s">
        <v>178</v>
      </c>
      <c r="D506" s="277">
        <f>LOOKUP(A506,'[3]PT'!$A$2:$A$725,'[3]PT'!$D$2:$D$725)</f>
        <v>458.7827</v>
      </c>
    </row>
    <row r="507" spans="1:4" ht="15" customHeight="1">
      <c r="A507" s="182" t="s">
        <v>1586</v>
      </c>
      <c r="B507" s="170" t="s">
        <v>1627</v>
      </c>
      <c r="C507" s="188" t="s">
        <v>178</v>
      </c>
      <c r="D507" s="277">
        <f>LOOKUP(A507,'[3]PT'!$A$2:$A$725,'[3]PT'!$D$2:$D$725)</f>
        <v>87.03</v>
      </c>
    </row>
    <row r="508" spans="1:4" ht="15" customHeight="1">
      <c r="A508" s="182" t="s">
        <v>1587</v>
      </c>
      <c r="B508" s="170" t="s">
        <v>1628</v>
      </c>
      <c r="C508" s="188" t="s">
        <v>178</v>
      </c>
      <c r="D508" s="277">
        <f>LOOKUP(A508,'[3]PT'!$A$2:$A$725,'[3]PT'!$D$2:$D$725)</f>
        <v>183.8643</v>
      </c>
    </row>
    <row r="509" spans="1:4" ht="15" customHeight="1">
      <c r="A509" s="182" t="s">
        <v>1588</v>
      </c>
      <c r="B509" s="170" t="s">
        <v>1629</v>
      </c>
      <c r="C509" s="188" t="s">
        <v>178</v>
      </c>
      <c r="D509" s="277">
        <f>LOOKUP(A509,'[3]PT'!$A$2:$A$725,'[3]PT'!$D$2:$D$725)</f>
        <v>163.8382</v>
      </c>
    </row>
    <row r="510" spans="1:4" ht="15" customHeight="1">
      <c r="A510" s="182" t="s">
        <v>1589</v>
      </c>
      <c r="B510" s="170" t="s">
        <v>1630</v>
      </c>
      <c r="C510" s="188" t="s">
        <v>178</v>
      </c>
      <c r="D510" s="277">
        <f>LOOKUP(A510,'[3]PT'!$A$2:$A$725,'[3]PT'!$D$2:$D$725)</f>
        <v>25.7563</v>
      </c>
    </row>
    <row r="511" spans="1:4" ht="15" customHeight="1">
      <c r="A511" s="182" t="s">
        <v>1590</v>
      </c>
      <c r="B511" s="170" t="s">
        <v>1631</v>
      </c>
      <c r="C511" s="188" t="s">
        <v>178</v>
      </c>
      <c r="D511" s="277">
        <f>LOOKUP(A511,'[3]PT'!$A$2:$A$725,'[3]PT'!$D$2:$D$725)</f>
        <v>18000</v>
      </c>
    </row>
    <row r="512" spans="1:4" ht="15" customHeight="1">
      <c r="A512" s="182" t="s">
        <v>1591</v>
      </c>
      <c r="B512" s="170" t="s">
        <v>1632</v>
      </c>
      <c r="C512" s="188" t="s">
        <v>178</v>
      </c>
      <c r="D512" s="277">
        <f>LOOKUP(A512,'[3]PT'!$A$2:$A$725,'[3]PT'!$D$2:$D$725)</f>
        <v>11.43</v>
      </c>
    </row>
    <row r="513" spans="1:4" ht="15" customHeight="1">
      <c r="A513" s="182" t="s">
        <v>1592</v>
      </c>
      <c r="B513" s="170" t="s">
        <v>1295</v>
      </c>
      <c r="C513" s="188" t="s">
        <v>178</v>
      </c>
      <c r="D513" s="277">
        <f>LOOKUP(A513,'[3]PT'!$A$2:$A$725,'[3]PT'!$D$2:$D$725)</f>
        <v>77.71</v>
      </c>
    </row>
    <row r="514" spans="1:4" ht="15" customHeight="1">
      <c r="A514" s="182" t="s">
        <v>1593</v>
      </c>
      <c r="B514" s="170" t="s">
        <v>1633</v>
      </c>
      <c r="C514" s="188" t="s">
        <v>178</v>
      </c>
      <c r="D514" s="277">
        <f>LOOKUP(A514,'[3]PT'!$A$2:$A$725,'[3]PT'!$D$2:$D$725)</f>
        <v>164.6733</v>
      </c>
    </row>
    <row r="515" spans="1:4" ht="15" customHeight="1">
      <c r="A515" s="182" t="s">
        <v>1594</v>
      </c>
      <c r="B515" s="170" t="s">
        <v>1302</v>
      </c>
      <c r="C515" s="188" t="s">
        <v>178</v>
      </c>
      <c r="D515" s="277">
        <f>LOOKUP(A515,'[3]PT'!$A$2:$A$725,'[3]PT'!$D$2:$D$725)</f>
        <v>3.61</v>
      </c>
    </row>
    <row r="516" spans="1:4" ht="15" customHeight="1">
      <c r="A516" s="182" t="s">
        <v>1595</v>
      </c>
      <c r="B516" s="170" t="s">
        <v>1303</v>
      </c>
      <c r="C516" s="188" t="s">
        <v>178</v>
      </c>
      <c r="D516" s="277">
        <f>LOOKUP(A516,'[3]PT'!$A$2:$A$725,'[3]PT'!$D$2:$D$725)</f>
        <v>12.8559</v>
      </c>
    </row>
    <row r="517" spans="1:4" ht="15" customHeight="1">
      <c r="A517" s="182" t="s">
        <v>1596</v>
      </c>
      <c r="B517" s="170" t="s">
        <v>1307</v>
      </c>
      <c r="C517" s="188" t="s">
        <v>178</v>
      </c>
      <c r="D517" s="277">
        <f>LOOKUP(A517,'[3]PT'!$A$2:$A$725,'[3]PT'!$D$2:$D$725)</f>
        <v>2.34</v>
      </c>
    </row>
    <row r="518" spans="1:4" ht="15" customHeight="1">
      <c r="A518" s="182" t="s">
        <v>1597</v>
      </c>
      <c r="B518" s="170" t="s">
        <v>1634</v>
      </c>
      <c r="C518" s="188" t="s">
        <v>178</v>
      </c>
      <c r="D518" s="277">
        <f>LOOKUP(A518,'[3]PT'!$A$2:$A$725,'[3]PT'!$D$2:$D$725)</f>
        <v>7.2</v>
      </c>
    </row>
    <row r="519" spans="1:4" ht="15" customHeight="1">
      <c r="A519" s="182" t="s">
        <v>1598</v>
      </c>
      <c r="B519" s="170" t="s">
        <v>1309</v>
      </c>
      <c r="C519" s="188" t="s">
        <v>178</v>
      </c>
      <c r="D519" s="277">
        <f>LOOKUP(A519,'[3]PT'!$A$2:$A$725,'[3]PT'!$D$2:$D$725)</f>
        <v>10.81</v>
      </c>
    </row>
    <row r="520" spans="1:4" ht="15" customHeight="1">
      <c r="A520" s="182" t="s">
        <v>1599</v>
      </c>
      <c r="B520" s="170" t="s">
        <v>1311</v>
      </c>
      <c r="C520" s="188" t="s">
        <v>178</v>
      </c>
      <c r="D520" s="277">
        <f>LOOKUP(A520,'[3]PT'!$A$2:$A$725,'[3]PT'!$D$2:$D$725)</f>
        <v>1.92</v>
      </c>
    </row>
    <row r="521" spans="1:4" ht="15" customHeight="1">
      <c r="A521" s="182" t="s">
        <v>1600</v>
      </c>
      <c r="B521" s="170" t="s">
        <v>1314</v>
      </c>
      <c r="C521" s="188" t="s">
        <v>178</v>
      </c>
      <c r="D521" s="277">
        <f>LOOKUP(A521,'[3]PT'!$A$2:$A$725,'[3]PT'!$D$2:$D$725)</f>
        <v>11.12</v>
      </c>
    </row>
    <row r="522" spans="1:4" ht="15" customHeight="1">
      <c r="A522" s="182" t="s">
        <v>1601</v>
      </c>
      <c r="B522" s="170" t="s">
        <v>1635</v>
      </c>
      <c r="C522" s="188" t="s">
        <v>178</v>
      </c>
      <c r="D522" s="277">
        <f>LOOKUP(A522,'[3]PT'!$A$2:$A$725,'[3]PT'!$D$2:$D$725)</f>
        <v>4.55</v>
      </c>
    </row>
    <row r="523" spans="1:6" ht="15" customHeight="1">
      <c r="A523" s="182" t="s">
        <v>315</v>
      </c>
      <c r="B523" s="179" t="s">
        <v>314</v>
      </c>
      <c r="C523" s="180" t="s">
        <v>178</v>
      </c>
      <c r="D523" s="277">
        <f>LOOKUP(A523,'[3]PT'!$A$2:$A$725,'[3]PT'!$D$2:$D$725)</f>
        <v>522368</v>
      </c>
      <c r="E523" s="178" t="s">
        <v>178</v>
      </c>
      <c r="F523" s="178" t="s">
        <v>315</v>
      </c>
    </row>
    <row r="524" spans="1:6" ht="15" customHeight="1">
      <c r="A524" s="182" t="s">
        <v>317</v>
      </c>
      <c r="B524" s="179" t="s">
        <v>316</v>
      </c>
      <c r="C524" s="180" t="s">
        <v>178</v>
      </c>
      <c r="D524" s="277">
        <f>LOOKUP(A524,'[3]PT'!$A$2:$A$725,'[3]PT'!$D$2:$D$725)</f>
        <v>473396</v>
      </c>
      <c r="E524" s="178" t="s">
        <v>178</v>
      </c>
      <c r="F524" s="178" t="s">
        <v>317</v>
      </c>
    </row>
    <row r="525" spans="1:6" ht="15" customHeight="1">
      <c r="A525" s="182" t="s">
        <v>319</v>
      </c>
      <c r="B525" s="179" t="s">
        <v>318</v>
      </c>
      <c r="C525" s="180" t="s">
        <v>178</v>
      </c>
      <c r="D525" s="277">
        <f>LOOKUP(A525,'[3]PT'!$A$2:$A$725,'[3]PT'!$D$2:$D$725)</f>
        <v>530530</v>
      </c>
      <c r="E525" s="178" t="s">
        <v>178</v>
      </c>
      <c r="F525" s="178" t="s">
        <v>319</v>
      </c>
    </row>
    <row r="526" spans="1:4" ht="15" customHeight="1">
      <c r="A526" s="245" t="s">
        <v>1904</v>
      </c>
      <c r="B526" s="262" t="s">
        <v>1902</v>
      </c>
      <c r="C526" s="127" t="s">
        <v>178</v>
      </c>
      <c r="D526" s="277">
        <f>LOOKUP(A526,'[3]PT'!$A$2:$A$725,'[3]PT'!$D$2:$D$725)</f>
        <v>2228.21</v>
      </c>
    </row>
    <row r="527" spans="1:4" ht="15" customHeight="1">
      <c r="A527" s="245" t="s">
        <v>1905</v>
      </c>
      <c r="B527" s="262" t="s">
        <v>1903</v>
      </c>
      <c r="C527" s="127" t="s">
        <v>178</v>
      </c>
      <c r="D527" s="277">
        <f>LOOKUP(A527,'[3]PT'!$A$2:$A$725,'[3]PT'!$D$2:$D$725)</f>
        <v>2500.33</v>
      </c>
    </row>
    <row r="528" spans="1:5" ht="15" customHeight="1">
      <c r="A528" s="246" t="s">
        <v>1796</v>
      </c>
      <c r="B528" s="201" t="s">
        <v>1795</v>
      </c>
      <c r="C528" s="205" t="s">
        <v>1810</v>
      </c>
      <c r="D528" s="277">
        <f>LOOKUP(A528,'[3]PT'!$A$2:$A$725,'[3]PT'!$D$2:$D$725)</f>
        <v>3323.64</v>
      </c>
      <c r="E528" s="251"/>
    </row>
    <row r="529" spans="1:5" ht="15" customHeight="1">
      <c r="A529" s="246" t="s">
        <v>1798</v>
      </c>
      <c r="B529" s="201" t="s">
        <v>1797</v>
      </c>
      <c r="C529" s="205" t="s">
        <v>1810</v>
      </c>
      <c r="D529" s="277">
        <f>LOOKUP(A529,'[3]PT'!$A$2:$A$725,'[3]PT'!$D$2:$D$725)</f>
        <v>4265.12</v>
      </c>
      <c r="E529" s="251"/>
    </row>
    <row r="530" spans="1:5" ht="15" customHeight="1">
      <c r="A530" s="246" t="s">
        <v>1800</v>
      </c>
      <c r="B530" s="201" t="s">
        <v>1799</v>
      </c>
      <c r="C530" s="205" t="s">
        <v>1810</v>
      </c>
      <c r="D530" s="277">
        <f>LOOKUP(A530,'[3]PT'!$A$2:$A$725,'[3]PT'!$D$2:$D$725)</f>
        <v>4427.43</v>
      </c>
      <c r="E530" s="251"/>
    </row>
    <row r="531" spans="1:4" ht="15" customHeight="1" thickBot="1">
      <c r="A531" s="207" t="s">
        <v>437</v>
      </c>
      <c r="B531" s="263" t="s">
        <v>438</v>
      </c>
      <c r="C531" s="207" t="s">
        <v>1810</v>
      </c>
      <c r="D531" s="277">
        <f>LOOKUP(A531,'[3]PT'!$A$2:$A$725,'[3]PT'!$D$2:$D$725)</f>
        <v>1608.4</v>
      </c>
    </row>
    <row r="532" spans="1:4" ht="15" customHeight="1">
      <c r="A532" s="209" t="s">
        <v>440</v>
      </c>
      <c r="B532" s="206" t="s">
        <v>441</v>
      </c>
      <c r="C532" s="209" t="s">
        <v>1966</v>
      </c>
      <c r="D532" s="277">
        <f>LOOKUP(A532,'[3]PT'!$A$2:$A$725,'[3]PT'!$D$2:$D$725)</f>
        <v>10.43</v>
      </c>
    </row>
    <row r="533" spans="1:4" ht="15" customHeight="1">
      <c r="A533" s="209" t="s">
        <v>442</v>
      </c>
      <c r="B533" s="206" t="s">
        <v>443</v>
      </c>
      <c r="C533" s="209" t="s">
        <v>1966</v>
      </c>
      <c r="D533" s="277">
        <f>LOOKUP(A533,'[3]PT'!$A$2:$A$725,'[3]PT'!$D$2:$D$725)</f>
        <v>9.98</v>
      </c>
    </row>
    <row r="534" spans="1:4" ht="15" customHeight="1">
      <c r="A534" s="209" t="s">
        <v>444</v>
      </c>
      <c r="B534" s="206" t="s">
        <v>445</v>
      </c>
      <c r="C534" s="209" t="s">
        <v>1966</v>
      </c>
      <c r="D534" s="277">
        <f>LOOKUP(A534,'[3]PT'!$A$2:$A$725,'[3]PT'!$D$2:$D$725)</f>
        <v>10.56</v>
      </c>
    </row>
    <row r="535" spans="1:4" ht="15" customHeight="1">
      <c r="A535" s="209" t="s">
        <v>446</v>
      </c>
      <c r="B535" s="206" t="s">
        <v>447</v>
      </c>
      <c r="C535" s="209" t="s">
        <v>1966</v>
      </c>
      <c r="D535" s="277">
        <f>LOOKUP(A535,'[3]PT'!$A$2:$A$725,'[3]PT'!$D$2:$D$725)</f>
        <v>9.8833</v>
      </c>
    </row>
    <row r="536" spans="1:4" ht="15" customHeight="1">
      <c r="A536" s="209" t="s">
        <v>448</v>
      </c>
      <c r="B536" s="206" t="s">
        <v>449</v>
      </c>
      <c r="C536" s="209" t="s">
        <v>1966</v>
      </c>
      <c r="D536" s="277">
        <f>LOOKUP(A536,'[3]PT'!$A$2:$A$725,'[3]PT'!$D$2:$D$725)</f>
        <v>9.5333</v>
      </c>
    </row>
    <row r="537" spans="1:4" ht="15" customHeight="1">
      <c r="A537" s="209" t="s">
        <v>450</v>
      </c>
      <c r="B537" s="206" t="s">
        <v>451</v>
      </c>
      <c r="C537" s="209" t="s">
        <v>1966</v>
      </c>
      <c r="D537" s="277">
        <f>LOOKUP(A537,'[3]PT'!$A$2:$A$725,'[3]PT'!$D$2:$D$725)</f>
        <v>9.9933</v>
      </c>
    </row>
    <row r="538" spans="1:4" ht="15" customHeight="1">
      <c r="A538" s="209" t="s">
        <v>452</v>
      </c>
      <c r="B538" s="206" t="s">
        <v>453</v>
      </c>
      <c r="C538" s="209" t="s">
        <v>1966</v>
      </c>
      <c r="D538" s="277">
        <f>LOOKUP(A538,'[3]PT'!$A$2:$A$725,'[3]PT'!$D$2:$D$725)</f>
        <v>30.21</v>
      </c>
    </row>
    <row r="539" spans="1:4" ht="15" customHeight="1">
      <c r="A539" s="209" t="s">
        <v>454</v>
      </c>
      <c r="B539" s="206" t="s">
        <v>455</v>
      </c>
      <c r="C539" s="209" t="s">
        <v>1966</v>
      </c>
      <c r="D539" s="277">
        <f>LOOKUP(A539,'[3]PT'!$A$2:$A$725,'[3]PT'!$D$2:$D$725)</f>
        <v>15.8667</v>
      </c>
    </row>
    <row r="540" spans="1:4" ht="15" customHeight="1">
      <c r="A540" s="209" t="s">
        <v>456</v>
      </c>
      <c r="B540" s="206" t="s">
        <v>457</v>
      </c>
      <c r="C540" s="209" t="s">
        <v>1966</v>
      </c>
      <c r="D540" s="277">
        <f>LOOKUP(A540,'[3]PT'!$A$2:$A$725,'[3]PT'!$D$2:$D$725)</f>
        <v>28.155</v>
      </c>
    </row>
    <row r="541" spans="1:4" ht="15" customHeight="1">
      <c r="A541" s="209" t="s">
        <v>458</v>
      </c>
      <c r="B541" s="206" t="s">
        <v>459</v>
      </c>
      <c r="C541" s="209" t="s">
        <v>1966</v>
      </c>
      <c r="D541" s="277">
        <f>LOOKUP(A541,'[3]PT'!$A$2:$A$725,'[3]PT'!$D$2:$D$725)</f>
        <v>12.34</v>
      </c>
    </row>
    <row r="542" spans="1:4" ht="15" customHeight="1">
      <c r="A542" s="209" t="s">
        <v>460</v>
      </c>
      <c r="B542" s="206" t="s">
        <v>461</v>
      </c>
      <c r="C542" s="209" t="s">
        <v>1966</v>
      </c>
      <c r="D542" s="277">
        <f>LOOKUP(A542,'[3]PT'!$A$2:$A$725,'[3]PT'!$D$2:$D$725)</f>
        <v>19.56</v>
      </c>
    </row>
    <row r="543" spans="1:4" ht="15" customHeight="1">
      <c r="A543" s="209" t="s">
        <v>462</v>
      </c>
      <c r="B543" s="206" t="s">
        <v>463</v>
      </c>
      <c r="C543" s="209" t="s">
        <v>1810</v>
      </c>
      <c r="D543" s="277">
        <f>LOOKUP(A543,'[3]PT'!$A$2:$A$725,'[3]PT'!$D$2:$D$725)</f>
        <v>63.49</v>
      </c>
    </row>
    <row r="544" spans="1:4" ht="15" customHeight="1">
      <c r="A544" s="209" t="s">
        <v>464</v>
      </c>
      <c r="B544" s="206" t="s">
        <v>465</v>
      </c>
      <c r="C544" s="209" t="s">
        <v>178</v>
      </c>
      <c r="D544" s="277">
        <f>LOOKUP(A544,'[3]PT'!$A$2:$A$725,'[3]PT'!$D$2:$D$725)</f>
        <v>1.1851</v>
      </c>
    </row>
    <row r="545" spans="1:4" ht="15" customHeight="1">
      <c r="A545" s="209" t="s">
        <v>466</v>
      </c>
      <c r="B545" s="206" t="s">
        <v>467</v>
      </c>
      <c r="C545" s="209" t="s">
        <v>1966</v>
      </c>
      <c r="D545" s="277">
        <f>LOOKUP(A545,'[3]PT'!$A$2:$A$725,'[3]PT'!$D$2:$D$725)</f>
        <v>9.44</v>
      </c>
    </row>
    <row r="546" spans="1:4" ht="15" customHeight="1">
      <c r="A546" s="209" t="s">
        <v>468</v>
      </c>
      <c r="B546" s="206" t="s">
        <v>469</v>
      </c>
      <c r="C546" s="209" t="s">
        <v>1966</v>
      </c>
      <c r="D546" s="277">
        <f>LOOKUP(A546,'[3]PT'!$A$2:$A$725,'[3]PT'!$D$2:$D$725)</f>
        <v>9.48</v>
      </c>
    </row>
    <row r="547" spans="1:4" ht="15" customHeight="1">
      <c r="A547" s="209" t="s">
        <v>470</v>
      </c>
      <c r="B547" s="206" t="s">
        <v>471</v>
      </c>
      <c r="C547" s="209" t="s">
        <v>472</v>
      </c>
      <c r="D547" s="277">
        <f>LOOKUP(A547,'[3]PT'!$A$2:$A$725,'[3]PT'!$D$2:$D$725)</f>
        <v>27.8367</v>
      </c>
    </row>
    <row r="548" spans="1:4" ht="15" customHeight="1">
      <c r="A548" s="209" t="s">
        <v>473</v>
      </c>
      <c r="B548" s="206" t="s">
        <v>474</v>
      </c>
      <c r="C548" s="209" t="s">
        <v>472</v>
      </c>
      <c r="D548" s="277">
        <f>LOOKUP(A548,'[3]PT'!$A$2:$A$725,'[3]PT'!$D$2:$D$725)</f>
        <v>48.89</v>
      </c>
    </row>
    <row r="549" spans="1:4" ht="15" customHeight="1">
      <c r="A549" s="209" t="s">
        <v>475</v>
      </c>
      <c r="B549" s="206" t="s">
        <v>476</v>
      </c>
      <c r="C549" s="209" t="s">
        <v>472</v>
      </c>
      <c r="D549" s="277">
        <f>LOOKUP(A549,'[3]PT'!$A$2:$A$725,'[3]PT'!$D$2:$D$725)</f>
        <v>110.5533</v>
      </c>
    </row>
    <row r="550" spans="1:4" ht="15" customHeight="1">
      <c r="A550" s="209" t="s">
        <v>477</v>
      </c>
      <c r="B550" s="206" t="s">
        <v>478</v>
      </c>
      <c r="C550" s="209" t="s">
        <v>472</v>
      </c>
      <c r="D550" s="277">
        <f>LOOKUP(A550,'[3]PT'!$A$2:$A$725,'[3]PT'!$D$2:$D$725)</f>
        <v>192.4467</v>
      </c>
    </row>
    <row r="551" spans="1:4" ht="15" customHeight="1">
      <c r="A551" s="209" t="s">
        <v>479</v>
      </c>
      <c r="B551" s="206" t="s">
        <v>480</v>
      </c>
      <c r="C551" s="209" t="s">
        <v>1966</v>
      </c>
      <c r="D551" s="277">
        <f>LOOKUP(A551,'[3]PT'!$A$2:$A$725,'[3]PT'!$D$2:$D$725)</f>
        <v>82.62</v>
      </c>
    </row>
    <row r="552" spans="1:4" ht="15" customHeight="1">
      <c r="A552" s="209" t="s">
        <v>481</v>
      </c>
      <c r="B552" s="206" t="s">
        <v>482</v>
      </c>
      <c r="C552" s="209" t="s">
        <v>1966</v>
      </c>
      <c r="D552" s="277">
        <f>LOOKUP(A552,'[3]PT'!$A$2:$A$725,'[3]PT'!$D$2:$D$725)</f>
        <v>45</v>
      </c>
    </row>
    <row r="553" spans="1:4" ht="15" customHeight="1">
      <c r="A553" s="209" t="s">
        <v>483</v>
      </c>
      <c r="B553" s="206" t="s">
        <v>484</v>
      </c>
      <c r="C553" s="209" t="s">
        <v>1810</v>
      </c>
      <c r="D553" s="277">
        <v>9.51</v>
      </c>
    </row>
    <row r="554" spans="1:4" ht="15" customHeight="1">
      <c r="A554" s="209" t="s">
        <v>485</v>
      </c>
      <c r="B554" s="206" t="s">
        <v>486</v>
      </c>
      <c r="C554" s="209" t="s">
        <v>1810</v>
      </c>
      <c r="D554" s="277">
        <v>15.93</v>
      </c>
    </row>
    <row r="555" spans="1:4" ht="15" customHeight="1">
      <c r="A555" s="209" t="s">
        <v>487</v>
      </c>
      <c r="B555" s="206" t="s">
        <v>488</v>
      </c>
      <c r="C555" s="209" t="s">
        <v>1810</v>
      </c>
      <c r="D555" s="277">
        <v>5.79</v>
      </c>
    </row>
    <row r="556" spans="1:4" ht="15" customHeight="1">
      <c r="A556" s="209" t="s">
        <v>489</v>
      </c>
      <c r="B556" s="206" t="s">
        <v>490</v>
      </c>
      <c r="C556" s="209" t="s">
        <v>178</v>
      </c>
      <c r="D556" s="277">
        <f>LOOKUP(A556,'[3]PT'!$A$2:$A$725,'[3]PT'!$D$2:$D$725)</f>
        <v>3.4549</v>
      </c>
    </row>
    <row r="557" spans="1:4" ht="15" customHeight="1">
      <c r="A557" s="209" t="s">
        <v>491</v>
      </c>
      <c r="B557" s="206" t="s">
        <v>492</v>
      </c>
      <c r="C557" s="209" t="s">
        <v>1810</v>
      </c>
      <c r="D557" s="277">
        <f>LOOKUP(A557,'[3]PT'!$A$2:$A$725,'[3]PT'!$D$2:$D$725)</f>
        <v>34.08</v>
      </c>
    </row>
    <row r="558" spans="1:4" ht="15" customHeight="1">
      <c r="A558" s="209" t="s">
        <v>493</v>
      </c>
      <c r="B558" s="206" t="s">
        <v>494</v>
      </c>
      <c r="C558" s="209" t="s">
        <v>1810</v>
      </c>
      <c r="D558" s="277">
        <f>LOOKUP(A558,'[3]PT'!$A$2:$A$725,'[3]PT'!$D$2:$D$725)</f>
        <v>10.7667</v>
      </c>
    </row>
    <row r="559" spans="1:4" ht="15" customHeight="1">
      <c r="A559" s="209" t="s">
        <v>495</v>
      </c>
      <c r="B559" s="206" t="s">
        <v>496</v>
      </c>
      <c r="C559" s="209" t="s">
        <v>1810</v>
      </c>
      <c r="D559" s="277">
        <f>LOOKUP(A559,'[3]PT'!$A$2:$A$725,'[3]PT'!$D$2:$D$725)</f>
        <v>35.62</v>
      </c>
    </row>
    <row r="560" spans="1:4" ht="15" customHeight="1">
      <c r="A560" s="209" t="s">
        <v>497</v>
      </c>
      <c r="B560" s="206" t="s">
        <v>498</v>
      </c>
      <c r="C560" s="209" t="s">
        <v>1810</v>
      </c>
      <c r="D560" s="277">
        <f>LOOKUP(A560,'[3]PT'!$A$2:$A$725,'[3]PT'!$D$2:$D$725)</f>
        <v>26.215</v>
      </c>
    </row>
    <row r="561" spans="1:4" ht="15" customHeight="1">
      <c r="A561" s="209" t="s">
        <v>499</v>
      </c>
      <c r="B561" s="206" t="s">
        <v>500</v>
      </c>
      <c r="C561" s="209" t="s">
        <v>1810</v>
      </c>
      <c r="D561" s="277">
        <f>LOOKUP(A561,'[3]PT'!$A$2:$A$725,'[3]PT'!$D$2:$D$725)</f>
        <v>5.8167</v>
      </c>
    </row>
    <row r="562" spans="1:4" ht="15" customHeight="1">
      <c r="A562" s="209" t="s">
        <v>501</v>
      </c>
      <c r="B562" s="206" t="s">
        <v>502</v>
      </c>
      <c r="C562" s="209" t="s">
        <v>1810</v>
      </c>
      <c r="D562" s="277">
        <f>LOOKUP(A562,'[3]PT'!$A$2:$A$725,'[3]PT'!$D$2:$D$725)</f>
        <v>8.9433</v>
      </c>
    </row>
    <row r="563" spans="1:4" ht="15" customHeight="1">
      <c r="A563" s="209" t="s">
        <v>503</v>
      </c>
      <c r="B563" s="206" t="s">
        <v>504</v>
      </c>
      <c r="C563" s="209" t="s">
        <v>1810</v>
      </c>
      <c r="D563" s="277">
        <f>LOOKUP(A563,'[3]PT'!$A$2:$A$725,'[3]PT'!$D$2:$D$725)</f>
        <v>7.11</v>
      </c>
    </row>
    <row r="564" spans="1:4" ht="15" customHeight="1">
      <c r="A564" s="209" t="s">
        <v>505</v>
      </c>
      <c r="B564" s="206" t="s">
        <v>506</v>
      </c>
      <c r="C564" s="209" t="s">
        <v>1810</v>
      </c>
      <c r="D564" s="277">
        <f>LOOKUP(A564,'[3]PT'!$A$2:$A$725,'[3]PT'!$D$2:$D$725)</f>
        <v>14.64</v>
      </c>
    </row>
    <row r="565" spans="1:4" ht="15" customHeight="1">
      <c r="A565" s="209" t="s">
        <v>507</v>
      </c>
      <c r="B565" s="206" t="s">
        <v>508</v>
      </c>
      <c r="C565" s="209" t="s">
        <v>178</v>
      </c>
      <c r="D565" s="277">
        <f>LOOKUP(A565,'[3]PT'!$A$2:$A$725,'[3]PT'!$D$2:$D$725)</f>
        <v>26.07</v>
      </c>
    </row>
    <row r="566" spans="1:4" ht="15" customHeight="1">
      <c r="A566" s="209" t="s">
        <v>509</v>
      </c>
      <c r="B566" s="206" t="s">
        <v>510</v>
      </c>
      <c r="C566" s="209" t="s">
        <v>178</v>
      </c>
      <c r="D566" s="277">
        <f>LOOKUP(A566,'[3]PT'!$A$2:$A$725,'[3]PT'!$D$2:$D$725)</f>
        <v>17.15</v>
      </c>
    </row>
    <row r="567" spans="1:4" ht="15" customHeight="1">
      <c r="A567" s="209" t="s">
        <v>511</v>
      </c>
      <c r="B567" s="206" t="s">
        <v>512</v>
      </c>
      <c r="C567" s="209" t="s">
        <v>1937</v>
      </c>
      <c r="D567" s="277">
        <f>LOOKUP(A567,'[3]PT'!$A$2:$A$725,'[3]PT'!$D$2:$D$725)</f>
        <v>13.6567</v>
      </c>
    </row>
    <row r="568" spans="1:4" ht="15" customHeight="1">
      <c r="A568" s="209" t="s">
        <v>37</v>
      </c>
      <c r="B568" s="206" t="s">
        <v>513</v>
      </c>
      <c r="C568" s="209" t="s">
        <v>178</v>
      </c>
      <c r="D568" s="277">
        <f>LOOKUP(A568,'[3]PT'!$A$2:$A$725,'[3]PT'!$D$2:$D$725)</f>
        <v>11.225</v>
      </c>
    </row>
    <row r="569" spans="1:4" ht="15" customHeight="1">
      <c r="A569" s="209" t="s">
        <v>514</v>
      </c>
      <c r="B569" s="206" t="s">
        <v>515</v>
      </c>
      <c r="C569" s="209" t="s">
        <v>1937</v>
      </c>
      <c r="D569" s="277">
        <f>LOOKUP(A569,'[3]PT'!$A$2:$A$725,'[3]PT'!$D$2:$D$725)</f>
        <v>38.11</v>
      </c>
    </row>
    <row r="570" spans="1:4" ht="15" customHeight="1">
      <c r="A570" s="209" t="s">
        <v>1941</v>
      </c>
      <c r="B570" s="206" t="s">
        <v>516</v>
      </c>
      <c r="C570" s="209" t="s">
        <v>348</v>
      </c>
      <c r="D570" s="277">
        <f>LOOKUP(A570,'[3]PT'!$A$2:$A$725,'[3]PT'!$D$2:$D$725)</f>
        <v>38.11</v>
      </c>
    </row>
    <row r="571" spans="1:4" ht="15" customHeight="1">
      <c r="A571" s="209" t="s">
        <v>517</v>
      </c>
      <c r="B571" s="206" t="s">
        <v>518</v>
      </c>
      <c r="C571" s="209" t="s">
        <v>348</v>
      </c>
      <c r="D571" s="277">
        <f>LOOKUP(A571,'[3]PT'!$A$2:$A$725,'[3]PT'!$D$2:$D$725)</f>
        <v>6.6233</v>
      </c>
    </row>
    <row r="572" spans="1:4" ht="15" customHeight="1">
      <c r="A572" s="209" t="s">
        <v>519</v>
      </c>
      <c r="B572" s="206" t="s">
        <v>520</v>
      </c>
      <c r="C572" s="209" t="s">
        <v>1937</v>
      </c>
      <c r="D572" s="277">
        <f>LOOKUP(A572,'[3]PT'!$A$2:$A$725,'[3]PT'!$D$2:$D$725)</f>
        <v>27.9993</v>
      </c>
    </row>
    <row r="573" spans="1:4" ht="15" customHeight="1">
      <c r="A573" s="209" t="s">
        <v>1938</v>
      </c>
      <c r="B573" s="206" t="s">
        <v>521</v>
      </c>
      <c r="C573" s="209" t="s">
        <v>1937</v>
      </c>
      <c r="D573" s="277">
        <f>LOOKUP(A573,'[3]PT'!$A$2:$A$725,'[3]PT'!$D$2:$D$725)</f>
        <v>22.86</v>
      </c>
    </row>
    <row r="574" spans="1:4" ht="15" customHeight="1">
      <c r="A574" s="209" t="s">
        <v>522</v>
      </c>
      <c r="B574" s="206" t="s">
        <v>1426</v>
      </c>
      <c r="C574" s="209" t="s">
        <v>1966</v>
      </c>
      <c r="D574" s="277">
        <f>LOOKUP(A574,'[3]PT'!$A$2:$A$725,'[3]PT'!$D$2:$D$725)</f>
        <v>5.69</v>
      </c>
    </row>
    <row r="575" spans="1:4" ht="15" customHeight="1">
      <c r="A575" s="209" t="s">
        <v>1046</v>
      </c>
      <c r="B575" s="206" t="s">
        <v>1047</v>
      </c>
      <c r="C575" s="209" t="s">
        <v>1937</v>
      </c>
      <c r="D575" s="277">
        <f>LOOKUP(A575,'[3]PT'!$A$2:$A$725,'[3]PT'!$D$2:$D$725)</f>
        <v>32.93</v>
      </c>
    </row>
    <row r="576" spans="1:4" ht="15" customHeight="1">
      <c r="A576" s="209" t="s">
        <v>523</v>
      </c>
      <c r="B576" s="206" t="s">
        <v>524</v>
      </c>
      <c r="C576" s="209" t="s">
        <v>1937</v>
      </c>
      <c r="D576" s="277">
        <f>LOOKUP(A576,'[3]PT'!$A$2:$A$725,'[3]PT'!$D$2:$D$725)</f>
        <v>8.3882</v>
      </c>
    </row>
    <row r="577" spans="1:4" ht="15" customHeight="1">
      <c r="A577" s="209" t="s">
        <v>525</v>
      </c>
      <c r="B577" s="206" t="s">
        <v>526</v>
      </c>
      <c r="C577" s="209" t="s">
        <v>178</v>
      </c>
      <c r="D577" s="277">
        <f>LOOKUP(A577,'[3]PT'!$A$2:$A$725,'[3]PT'!$D$2:$D$725)</f>
        <v>33.4539</v>
      </c>
    </row>
    <row r="578" spans="1:4" ht="15" customHeight="1">
      <c r="A578" s="209" t="s">
        <v>528</v>
      </c>
      <c r="B578" s="206" t="s">
        <v>529</v>
      </c>
      <c r="C578" s="209" t="s">
        <v>178</v>
      </c>
      <c r="D578" s="277">
        <f>LOOKUP(A578,'[3]PT'!$A$2:$A$725,'[3]PT'!$D$2:$D$725)</f>
        <v>177.37</v>
      </c>
    </row>
    <row r="579" spans="1:4" ht="15" customHeight="1">
      <c r="A579" s="209" t="s">
        <v>530</v>
      </c>
      <c r="B579" s="206" t="s">
        <v>531</v>
      </c>
      <c r="C579" s="209" t="s">
        <v>1984</v>
      </c>
      <c r="D579" s="277">
        <f>LOOKUP(A579,'[3]PT'!$A$2:$A$725,'[3]PT'!$D$2:$D$725)</f>
        <v>138.91</v>
      </c>
    </row>
    <row r="580" spans="1:4" ht="15" customHeight="1">
      <c r="A580" s="209" t="s">
        <v>532</v>
      </c>
      <c r="B580" s="206" t="s">
        <v>533</v>
      </c>
      <c r="C580" s="209" t="s">
        <v>1984</v>
      </c>
      <c r="D580" s="277">
        <f>LOOKUP(A580,'[3]PT'!$A$2:$A$725,'[3]PT'!$D$2:$D$725)</f>
        <v>145.195</v>
      </c>
    </row>
    <row r="581" spans="1:4" ht="15" customHeight="1">
      <c r="A581" s="209" t="s">
        <v>534</v>
      </c>
      <c r="B581" s="206" t="s">
        <v>535</v>
      </c>
      <c r="C581" s="209" t="s">
        <v>1937</v>
      </c>
      <c r="D581" s="277">
        <f>LOOKUP(A581,'[3]PT'!$A$2:$A$725,'[3]PT'!$D$2:$D$725)</f>
        <v>54.35</v>
      </c>
    </row>
    <row r="582" spans="1:4" ht="15" customHeight="1">
      <c r="A582" s="209" t="s">
        <v>536</v>
      </c>
      <c r="B582" s="206" t="s">
        <v>537</v>
      </c>
      <c r="C582" s="209" t="s">
        <v>178</v>
      </c>
      <c r="D582" s="277">
        <f>LOOKUP(A582,'[3]PT'!$A$2:$A$725,'[3]PT'!$D$2:$D$725)</f>
        <v>7.85</v>
      </c>
    </row>
    <row r="583" spans="1:4" ht="15" customHeight="1">
      <c r="A583" s="209" t="s">
        <v>538</v>
      </c>
      <c r="B583" s="206" t="s">
        <v>539</v>
      </c>
      <c r="C583" s="209" t="s">
        <v>1810</v>
      </c>
      <c r="D583" s="277">
        <f>LOOKUP(A583,'[3]PT'!$A$2:$A$725,'[3]PT'!$D$2:$D$725)</f>
        <v>30.615</v>
      </c>
    </row>
    <row r="584" spans="1:4" ht="15" customHeight="1">
      <c r="A584" s="209" t="s">
        <v>540</v>
      </c>
      <c r="B584" s="206" t="s">
        <v>541</v>
      </c>
      <c r="C584" s="209" t="s">
        <v>1810</v>
      </c>
      <c r="D584" s="277">
        <f>LOOKUP(A584,'[3]PT'!$A$2:$A$725,'[3]PT'!$D$2:$D$725)</f>
        <v>35.76</v>
      </c>
    </row>
    <row r="585" spans="1:4" ht="15" customHeight="1">
      <c r="A585" s="209" t="s">
        <v>542</v>
      </c>
      <c r="B585" s="206" t="s">
        <v>543</v>
      </c>
      <c r="C585" s="209" t="s">
        <v>178</v>
      </c>
      <c r="D585" s="277">
        <f>LOOKUP(A585,'[3]PT'!$A$2:$A$725,'[3]PT'!$D$2:$D$725)</f>
        <v>232</v>
      </c>
    </row>
    <row r="586" spans="1:4" ht="15" customHeight="1">
      <c r="A586" s="209" t="s">
        <v>544</v>
      </c>
      <c r="B586" s="206" t="s">
        <v>545</v>
      </c>
      <c r="C586" s="209" t="s">
        <v>178</v>
      </c>
      <c r="D586" s="277">
        <f>LOOKUP(A586,'[3]PT'!$A$2:$A$725,'[3]PT'!$D$2:$D$725)</f>
        <v>228.5304</v>
      </c>
    </row>
    <row r="587" spans="1:4" ht="15" customHeight="1">
      <c r="A587" s="209"/>
      <c r="B587" s="206"/>
      <c r="C587" s="209"/>
      <c r="D587" s="277">
        <f>LOOKUP(A587,'[3]PT'!$A$2:$A$725,'[3]PT'!$D$2:$D$725)</f>
        <v>634.9415</v>
      </c>
    </row>
    <row r="588" spans="1:4" ht="15" customHeight="1">
      <c r="A588" s="209" t="s">
        <v>546</v>
      </c>
      <c r="B588" s="206" t="s">
        <v>547</v>
      </c>
      <c r="C588" s="209" t="s">
        <v>178</v>
      </c>
      <c r="D588" s="277">
        <f>LOOKUP(A588,'[3]PT'!$A$2:$A$725,'[3]PT'!$D$2:$D$725)</f>
        <v>2538.13</v>
      </c>
    </row>
    <row r="589" spans="1:4" ht="15" customHeight="1">
      <c r="A589" s="209" t="s">
        <v>548</v>
      </c>
      <c r="B589" s="206" t="s">
        <v>549</v>
      </c>
      <c r="C589" s="209" t="s">
        <v>178</v>
      </c>
      <c r="D589" s="277">
        <f>LOOKUP(A589,'[3]PT'!$A$2:$A$725,'[3]PT'!$D$2:$D$725)</f>
        <v>2317</v>
      </c>
    </row>
    <row r="590" spans="1:4" ht="15" customHeight="1">
      <c r="A590" s="209" t="s">
        <v>550</v>
      </c>
      <c r="B590" s="206" t="s">
        <v>551</v>
      </c>
      <c r="C590" s="209" t="s">
        <v>178</v>
      </c>
      <c r="D590" s="277">
        <f>LOOKUP(A590,'[3]PT'!$A$2:$A$725,'[3]PT'!$D$2:$D$725)</f>
        <v>2052</v>
      </c>
    </row>
    <row r="591" spans="1:4" ht="15" customHeight="1">
      <c r="A591" s="209" t="s">
        <v>552</v>
      </c>
      <c r="B591" s="206" t="s">
        <v>553</v>
      </c>
      <c r="C591" s="209" t="s">
        <v>178</v>
      </c>
      <c r="D591" s="277">
        <f>LOOKUP(A591,'[3]PT'!$A$2:$A$725,'[3]PT'!$D$2:$D$725)</f>
        <v>2425</v>
      </c>
    </row>
    <row r="592" spans="1:4" ht="15" customHeight="1">
      <c r="A592" s="209" t="s">
        <v>554</v>
      </c>
      <c r="B592" s="206" t="s">
        <v>555</v>
      </c>
      <c r="C592" s="209" t="s">
        <v>178</v>
      </c>
      <c r="D592" s="277">
        <f>LOOKUP(A592,'[3]PT'!$A$2:$A$725,'[3]PT'!$D$2:$D$725)</f>
        <v>435</v>
      </c>
    </row>
    <row r="593" spans="1:4" ht="15" customHeight="1">
      <c r="A593" s="209" t="s">
        <v>556</v>
      </c>
      <c r="B593" s="206" t="s">
        <v>557</v>
      </c>
      <c r="C593" s="209" t="s">
        <v>178</v>
      </c>
      <c r="D593" s="277">
        <f>LOOKUP(A593,'[3]PT'!$A$2:$A$725,'[3]PT'!$D$2:$D$725)</f>
        <v>463</v>
      </c>
    </row>
    <row r="594" spans="1:4" ht="15" customHeight="1">
      <c r="A594" s="209" t="s">
        <v>558</v>
      </c>
      <c r="B594" s="206" t="s">
        <v>559</v>
      </c>
      <c r="C594" s="209" t="s">
        <v>178</v>
      </c>
      <c r="D594" s="277">
        <f>LOOKUP(A594,'[3]PT'!$A$2:$A$725,'[3]PT'!$D$2:$D$725)</f>
        <v>1647</v>
      </c>
    </row>
    <row r="595" spans="1:4" ht="15" customHeight="1">
      <c r="A595" s="209" t="s">
        <v>560</v>
      </c>
      <c r="B595" s="206" t="s">
        <v>561</v>
      </c>
      <c r="C595" s="209" t="s">
        <v>178</v>
      </c>
      <c r="D595" s="277">
        <f>LOOKUP(A595,'[3]PT'!$A$2:$A$725,'[3]PT'!$D$2:$D$725)</f>
        <v>301</v>
      </c>
    </row>
    <row r="596" spans="1:4" ht="15" customHeight="1">
      <c r="A596" s="209" t="s">
        <v>562</v>
      </c>
      <c r="B596" s="206" t="s">
        <v>563</v>
      </c>
      <c r="C596" s="209" t="s">
        <v>178</v>
      </c>
      <c r="D596" s="277">
        <f>LOOKUP(A596,'[3]PT'!$A$2:$A$725,'[3]PT'!$D$2:$D$725)</f>
        <v>297</v>
      </c>
    </row>
    <row r="597" spans="1:4" ht="15" customHeight="1">
      <c r="A597" s="209" t="s">
        <v>564</v>
      </c>
      <c r="B597" s="206" t="s">
        <v>565</v>
      </c>
      <c r="C597" s="209" t="s">
        <v>178</v>
      </c>
      <c r="D597" s="277">
        <f>LOOKUP(A597,'[3]PT'!$A$2:$A$725,'[3]PT'!$D$2:$D$725)</f>
        <v>293</v>
      </c>
    </row>
    <row r="598" spans="1:4" ht="15" customHeight="1">
      <c r="A598" s="209" t="s">
        <v>566</v>
      </c>
      <c r="B598" s="206" t="s">
        <v>567</v>
      </c>
      <c r="C598" s="209" t="s">
        <v>178</v>
      </c>
      <c r="D598" s="277">
        <f>LOOKUP(A598,'[3]PT'!$A$2:$A$725,'[3]PT'!$D$2:$D$725)</f>
        <v>1285</v>
      </c>
    </row>
    <row r="599" spans="1:4" ht="15" customHeight="1">
      <c r="A599" s="209" t="s">
        <v>568</v>
      </c>
      <c r="B599" s="206" t="s">
        <v>569</v>
      </c>
      <c r="C599" s="209" t="s">
        <v>178</v>
      </c>
      <c r="D599" s="277">
        <f>LOOKUP(A599,'[3]PT'!$A$2:$A$725,'[3]PT'!$D$2:$D$725)</f>
        <v>2232.66</v>
      </c>
    </row>
    <row r="600" spans="1:4" ht="15" customHeight="1">
      <c r="A600" s="209" t="s">
        <v>570</v>
      </c>
      <c r="B600" s="206" t="s">
        <v>571</v>
      </c>
      <c r="C600" s="209" t="s">
        <v>178</v>
      </c>
      <c r="D600" s="277">
        <f>LOOKUP(A600,'[3]PT'!$A$2:$A$725,'[3]PT'!$D$2:$D$725)</f>
        <v>182.665</v>
      </c>
    </row>
    <row r="601" spans="1:4" ht="15" customHeight="1">
      <c r="A601" s="209" t="s">
        <v>572</v>
      </c>
      <c r="B601" s="206" t="s">
        <v>573</v>
      </c>
      <c r="C601" s="209" t="s">
        <v>178</v>
      </c>
      <c r="D601" s="277">
        <f>LOOKUP(A601,'[3]PT'!$A$2:$A$725,'[3]PT'!$D$2:$D$725)</f>
        <v>154.63</v>
      </c>
    </row>
    <row r="602" spans="1:4" ht="15" customHeight="1">
      <c r="A602" s="209" t="s">
        <v>574</v>
      </c>
      <c r="B602" s="206" t="s">
        <v>575</v>
      </c>
      <c r="C602" s="209" t="s">
        <v>576</v>
      </c>
      <c r="D602" s="277">
        <f>LOOKUP(A602,'[3]PT'!$A$2:$A$725,'[3]PT'!$D$2:$D$725)</f>
        <v>18.345</v>
      </c>
    </row>
    <row r="603" spans="1:4" ht="15" customHeight="1">
      <c r="A603" s="209" t="s">
        <v>577</v>
      </c>
      <c r="B603" s="206" t="s">
        <v>578</v>
      </c>
      <c r="C603" s="209" t="s">
        <v>178</v>
      </c>
      <c r="D603" s="277">
        <f>LOOKUP(A603,'[3]PT'!$A$2:$A$725,'[3]PT'!$D$2:$D$725)</f>
        <v>94.79</v>
      </c>
    </row>
    <row r="604" spans="1:4" ht="15" customHeight="1">
      <c r="A604" s="209" t="s">
        <v>579</v>
      </c>
      <c r="B604" s="206" t="s">
        <v>580</v>
      </c>
      <c r="C604" s="209" t="s">
        <v>178</v>
      </c>
      <c r="D604" s="277">
        <f>LOOKUP(A604,'[3]PT'!$A$2:$A$725,'[3]PT'!$D$2:$D$725)</f>
        <v>411.17</v>
      </c>
    </row>
    <row r="605" spans="1:4" ht="15" customHeight="1">
      <c r="A605" s="209" t="s">
        <v>581</v>
      </c>
      <c r="B605" s="206" t="s">
        <v>582</v>
      </c>
      <c r="C605" s="209" t="s">
        <v>178</v>
      </c>
      <c r="D605" s="277">
        <f>LOOKUP(A605,'[3]PT'!$A$2:$A$725,'[3]PT'!$D$2:$D$725)</f>
        <v>130.395</v>
      </c>
    </row>
    <row r="606" spans="1:4" ht="15" customHeight="1">
      <c r="A606" s="209" t="s">
        <v>583</v>
      </c>
      <c r="B606" s="206" t="s">
        <v>584</v>
      </c>
      <c r="C606" s="209" t="s">
        <v>178</v>
      </c>
      <c r="D606" s="277">
        <f>LOOKUP(A606,'[3]PT'!$A$2:$A$725,'[3]PT'!$D$2:$D$725)</f>
        <v>395.32</v>
      </c>
    </row>
    <row r="607" spans="1:4" ht="15" customHeight="1">
      <c r="A607" s="209" t="s">
        <v>585</v>
      </c>
      <c r="B607" s="206" t="s">
        <v>586</v>
      </c>
      <c r="C607" s="209" t="s">
        <v>178</v>
      </c>
      <c r="D607" s="277">
        <f>LOOKUP(A607,'[3]PT'!$A$2:$A$725,'[3]PT'!$D$2:$D$725)</f>
        <v>237.76</v>
      </c>
    </row>
    <row r="608" spans="1:4" ht="15" customHeight="1">
      <c r="A608" s="209" t="s">
        <v>587</v>
      </c>
      <c r="B608" s="206" t="s">
        <v>588</v>
      </c>
      <c r="C608" s="209" t="s">
        <v>178</v>
      </c>
      <c r="D608" s="277">
        <f>LOOKUP(A608,'[3]PT'!$A$2:$A$725,'[3]PT'!$D$2:$D$725)</f>
        <v>234.59</v>
      </c>
    </row>
    <row r="609" spans="1:4" ht="15" customHeight="1">
      <c r="A609" s="209" t="s">
        <v>589</v>
      </c>
      <c r="B609" s="206" t="s">
        <v>590</v>
      </c>
      <c r="C609" s="209" t="s">
        <v>576</v>
      </c>
      <c r="D609" s="277">
        <f>LOOKUP(A609,'[3]PT'!$A$2:$A$725,'[3]PT'!$D$2:$D$725)</f>
        <v>19.5163</v>
      </c>
    </row>
    <row r="610" spans="1:4" ht="15" customHeight="1">
      <c r="A610" s="209" t="s">
        <v>591</v>
      </c>
      <c r="B610" s="206" t="s">
        <v>1462</v>
      </c>
      <c r="C610" s="209" t="s">
        <v>1810</v>
      </c>
      <c r="D610" s="277">
        <f>LOOKUP(A610,'[3]PT'!$A$2:$A$725,'[3]PT'!$D$2:$D$725)</f>
        <v>2.9018</v>
      </c>
    </row>
    <row r="611" spans="1:4" ht="15" customHeight="1">
      <c r="A611" s="209" t="s">
        <v>592</v>
      </c>
      <c r="B611" s="206" t="s">
        <v>593</v>
      </c>
      <c r="C611" s="209" t="s">
        <v>178</v>
      </c>
      <c r="D611" s="277">
        <f>LOOKUP(A611,'[3]PT'!$A$2:$A$725,'[3]PT'!$D$2:$D$725)</f>
        <v>785.12</v>
      </c>
    </row>
    <row r="612" spans="1:4" ht="15" customHeight="1">
      <c r="A612" s="209" t="s">
        <v>594</v>
      </c>
      <c r="B612" s="206" t="s">
        <v>1602</v>
      </c>
      <c r="C612" s="209" t="s">
        <v>178</v>
      </c>
      <c r="D612" s="277">
        <f>LOOKUP(A612,'[3]PT'!$A$2:$A$725,'[3]PT'!$D$2:$D$725)</f>
        <v>71.2733</v>
      </c>
    </row>
    <row r="613" spans="1:4" ht="15" customHeight="1">
      <c r="A613" s="209" t="s">
        <v>595</v>
      </c>
      <c r="B613" s="206" t="s">
        <v>1603</v>
      </c>
      <c r="C613" s="209" t="s">
        <v>178</v>
      </c>
      <c r="D613" s="277">
        <f>LOOKUP(A613,'[3]PT'!$A$2:$A$725,'[3]PT'!$D$2:$D$725)</f>
        <v>153.13</v>
      </c>
    </row>
    <row r="614" spans="1:4" ht="15" customHeight="1">
      <c r="A614" s="209" t="s">
        <v>596</v>
      </c>
      <c r="B614" s="206" t="s">
        <v>1473</v>
      </c>
      <c r="C614" s="209" t="s">
        <v>1810</v>
      </c>
      <c r="D614" s="277">
        <f>LOOKUP(A614,'[3]PT'!$A$2:$A$725,'[3]PT'!$D$2:$D$725)</f>
        <v>7.4956</v>
      </c>
    </row>
    <row r="615" spans="1:4" ht="15" customHeight="1">
      <c r="A615" s="209" t="s">
        <v>597</v>
      </c>
      <c r="B615" s="206" t="s">
        <v>1604</v>
      </c>
      <c r="C615" s="209" t="s">
        <v>1810</v>
      </c>
      <c r="D615" s="277">
        <f>LOOKUP(A615,'[3]PT'!$A$2:$A$725,'[3]PT'!$D$2:$D$725)</f>
        <v>4.1167</v>
      </c>
    </row>
    <row r="616" spans="1:4" ht="15" customHeight="1">
      <c r="A616" s="209" t="s">
        <v>598</v>
      </c>
      <c r="B616" s="206" t="s">
        <v>1605</v>
      </c>
      <c r="C616" s="209" t="s">
        <v>1810</v>
      </c>
      <c r="D616" s="277">
        <f>LOOKUP(A616,'[3]PT'!$A$2:$A$725,'[3]PT'!$D$2:$D$725)</f>
        <v>19.99</v>
      </c>
    </row>
    <row r="617" spans="1:4" ht="15" customHeight="1">
      <c r="A617" s="209" t="s">
        <v>599</v>
      </c>
      <c r="B617" s="206" t="s">
        <v>1606</v>
      </c>
      <c r="C617" s="209" t="s">
        <v>1810</v>
      </c>
      <c r="D617" s="277">
        <f>LOOKUP(A617,'[3]PT'!$A$2:$A$725,'[3]PT'!$D$2:$D$725)</f>
        <v>40.71</v>
      </c>
    </row>
    <row r="618" spans="1:4" ht="15" customHeight="1">
      <c r="A618" s="209" t="s">
        <v>600</v>
      </c>
      <c r="B618" s="206" t="s">
        <v>601</v>
      </c>
      <c r="C618" s="209" t="s">
        <v>1810</v>
      </c>
      <c r="D618" s="277">
        <f>LOOKUP(A618,'[3]PT'!$A$2:$A$725,'[3]PT'!$D$2:$D$725)</f>
        <v>10.9847</v>
      </c>
    </row>
    <row r="619" spans="1:4" ht="15" customHeight="1">
      <c r="A619" s="209" t="s">
        <v>602</v>
      </c>
      <c r="B619" s="206" t="s">
        <v>1607</v>
      </c>
      <c r="C619" s="209" t="s">
        <v>1810</v>
      </c>
      <c r="D619" s="277">
        <f>LOOKUP(A619,'[3]PT'!$A$2:$A$725,'[3]PT'!$D$2:$D$725)</f>
        <v>2.74</v>
      </c>
    </row>
    <row r="620" spans="1:4" ht="15" customHeight="1">
      <c r="A620" s="209" t="s">
        <v>603</v>
      </c>
      <c r="B620" s="206" t="s">
        <v>604</v>
      </c>
      <c r="C620" s="209" t="s">
        <v>1810</v>
      </c>
      <c r="D620" s="277">
        <f>LOOKUP(A620,'[3]PT'!$A$2:$A$725,'[3]PT'!$D$2:$D$725)</f>
        <v>2.5433</v>
      </c>
    </row>
    <row r="621" spans="1:4" ht="15" customHeight="1">
      <c r="A621" s="209" t="s">
        <v>605</v>
      </c>
      <c r="B621" s="206" t="s">
        <v>606</v>
      </c>
      <c r="C621" s="209" t="s">
        <v>1810</v>
      </c>
      <c r="D621" s="277">
        <f>LOOKUP(A621,'[3]PT'!$A$2:$A$725,'[3]PT'!$D$2:$D$725)</f>
        <v>6.57</v>
      </c>
    </row>
    <row r="622" spans="1:4" ht="15" customHeight="1">
      <c r="A622" s="209" t="s">
        <v>607</v>
      </c>
      <c r="B622" s="206" t="s">
        <v>1454</v>
      </c>
      <c r="C622" s="209" t="s">
        <v>178</v>
      </c>
      <c r="D622" s="277">
        <f>LOOKUP(A622,'[3]PT'!$A$2:$A$725,'[3]PT'!$D$2:$D$725)</f>
        <v>4.0301</v>
      </c>
    </row>
    <row r="623" spans="1:4" ht="15" customHeight="1">
      <c r="A623" s="209" t="s">
        <v>608</v>
      </c>
      <c r="B623" s="206" t="s">
        <v>1453</v>
      </c>
      <c r="C623" s="209" t="s">
        <v>178</v>
      </c>
      <c r="D623" s="277">
        <f>LOOKUP(A623,'[3]PT'!$A$2:$A$725,'[3]PT'!$D$2:$D$725)</f>
        <v>1.9537</v>
      </c>
    </row>
    <row r="624" spans="1:4" ht="15" customHeight="1">
      <c r="A624" s="209" t="s">
        <v>609</v>
      </c>
      <c r="B624" s="206" t="s">
        <v>1455</v>
      </c>
      <c r="C624" s="209" t="s">
        <v>178</v>
      </c>
      <c r="D624" s="277">
        <f>LOOKUP(A624,'[3]PT'!$A$2:$A$725,'[3]PT'!$D$2:$D$725)</f>
        <v>7.9502</v>
      </c>
    </row>
    <row r="625" spans="1:4" ht="15" customHeight="1">
      <c r="A625" s="209" t="s">
        <v>610</v>
      </c>
      <c r="B625" s="206" t="s">
        <v>1608</v>
      </c>
      <c r="C625" s="209" t="s">
        <v>178</v>
      </c>
      <c r="D625" s="277">
        <f>LOOKUP(A625,'[3]PT'!$A$2:$A$725,'[3]PT'!$D$2:$D$725)</f>
        <v>4.1</v>
      </c>
    </row>
    <row r="626" spans="1:4" ht="15" customHeight="1">
      <c r="A626" s="209" t="s">
        <v>611</v>
      </c>
      <c r="B626" s="206" t="s">
        <v>1609</v>
      </c>
      <c r="C626" s="209" t="s">
        <v>178</v>
      </c>
      <c r="D626" s="277">
        <f>LOOKUP(A626,'[3]PT'!$A$2:$A$725,'[3]PT'!$D$2:$D$725)</f>
        <v>41.5215</v>
      </c>
    </row>
    <row r="627" spans="1:4" ht="15" customHeight="1">
      <c r="A627" s="209" t="s">
        <v>612</v>
      </c>
      <c r="B627" s="206" t="s">
        <v>1610</v>
      </c>
      <c r="C627" s="209" t="s">
        <v>178</v>
      </c>
      <c r="D627" s="277">
        <f>LOOKUP(A627,'[3]PT'!$A$2:$A$725,'[3]PT'!$D$2:$D$725)</f>
        <v>55.4442</v>
      </c>
    </row>
    <row r="628" spans="1:4" ht="15" customHeight="1">
      <c r="A628" s="209" t="s">
        <v>613</v>
      </c>
      <c r="B628" s="206" t="s">
        <v>1611</v>
      </c>
      <c r="C628" s="209" t="s">
        <v>178</v>
      </c>
      <c r="D628" s="277">
        <f>LOOKUP(A628,'[3]PT'!$A$2:$A$725,'[3]PT'!$D$2:$D$725)</f>
        <v>28.7167</v>
      </c>
    </row>
    <row r="629" spans="1:4" ht="15" customHeight="1">
      <c r="A629" s="209" t="s">
        <v>614</v>
      </c>
      <c r="B629" s="206" t="s">
        <v>1612</v>
      </c>
      <c r="C629" s="209" t="s">
        <v>178</v>
      </c>
      <c r="D629" s="277">
        <f>LOOKUP(A629,'[3]PT'!$A$2:$A$725,'[3]PT'!$D$2:$D$725)</f>
        <v>32.304</v>
      </c>
    </row>
    <row r="630" spans="1:4" ht="15" customHeight="1">
      <c r="A630" s="209" t="s">
        <v>615</v>
      </c>
      <c r="B630" s="206" t="s">
        <v>1440</v>
      </c>
      <c r="C630" s="209" t="s">
        <v>178</v>
      </c>
      <c r="D630" s="277">
        <f>LOOKUP(A630,'[3]PT'!$A$2:$A$725,'[3]PT'!$D$2:$D$725)</f>
        <v>40.8612</v>
      </c>
    </row>
    <row r="631" spans="1:4" ht="15" customHeight="1">
      <c r="A631" s="209" t="s">
        <v>616</v>
      </c>
      <c r="B631" s="206" t="s">
        <v>1613</v>
      </c>
      <c r="C631" s="209" t="s">
        <v>178</v>
      </c>
      <c r="D631" s="277">
        <f>LOOKUP(A631,'[3]PT'!$A$2:$A$725,'[3]PT'!$D$2:$D$725)</f>
        <v>5.9799</v>
      </c>
    </row>
    <row r="632" spans="1:4" ht="15" customHeight="1">
      <c r="A632" s="209" t="s">
        <v>617</v>
      </c>
      <c r="B632" s="206" t="s">
        <v>1614</v>
      </c>
      <c r="C632" s="209" t="s">
        <v>178</v>
      </c>
      <c r="D632" s="277">
        <f>LOOKUP(A632,'[3]PT'!$A$2:$A$725,'[3]PT'!$D$2:$D$725)</f>
        <v>5.172</v>
      </c>
    </row>
    <row r="633" spans="1:4" ht="15" customHeight="1">
      <c r="A633" s="209" t="s">
        <v>618</v>
      </c>
      <c r="B633" s="206" t="s">
        <v>1615</v>
      </c>
      <c r="C633" s="209" t="s">
        <v>1810</v>
      </c>
      <c r="D633" s="277">
        <f>LOOKUP(A633,'[3]PT'!$A$2:$A$725,'[3]PT'!$D$2:$D$725)</f>
        <v>2.02</v>
      </c>
    </row>
    <row r="634" spans="1:4" ht="15" customHeight="1">
      <c r="A634" s="209" t="s">
        <v>619</v>
      </c>
      <c r="B634" s="206" t="s">
        <v>1616</v>
      </c>
      <c r="C634" s="209" t="s">
        <v>178</v>
      </c>
      <c r="D634" s="277">
        <f>LOOKUP(A634,'[3]PT'!$A$2:$A$725,'[3]PT'!$D$2:$D$725)</f>
        <v>41.07</v>
      </c>
    </row>
    <row r="635" spans="1:4" ht="15" customHeight="1">
      <c r="A635" s="209" t="s">
        <v>620</v>
      </c>
      <c r="B635" s="206" t="s">
        <v>1617</v>
      </c>
      <c r="C635" s="209" t="s">
        <v>178</v>
      </c>
      <c r="D635" s="277">
        <f>LOOKUP(A635,'[3]PT'!$A$2:$A$725,'[3]PT'!$D$2:$D$725)</f>
        <v>86.615</v>
      </c>
    </row>
    <row r="636" spans="1:4" ht="15" customHeight="1">
      <c r="A636" s="209" t="s">
        <v>621</v>
      </c>
      <c r="B636" s="206" t="s">
        <v>1618</v>
      </c>
      <c r="C636" s="209" t="s">
        <v>178</v>
      </c>
      <c r="D636" s="277">
        <f>LOOKUP(A636,'[3]PT'!$A$2:$A$725,'[3]PT'!$D$2:$D$725)</f>
        <v>356.1237</v>
      </c>
    </row>
    <row r="637" spans="1:4" ht="15" customHeight="1">
      <c r="A637" s="209" t="s">
        <v>622</v>
      </c>
      <c r="B637" s="206" t="s">
        <v>1619</v>
      </c>
      <c r="C637" s="209" t="s">
        <v>178</v>
      </c>
      <c r="D637" s="277">
        <f>LOOKUP(A637,'[3]PT'!$A$2:$A$725,'[3]PT'!$D$2:$D$725)</f>
        <v>113.8</v>
      </c>
    </row>
    <row r="638" spans="1:4" ht="15" customHeight="1">
      <c r="A638" s="209" t="s">
        <v>623</v>
      </c>
      <c r="B638" s="206" t="s">
        <v>1620</v>
      </c>
      <c r="C638" s="209" t="s">
        <v>178</v>
      </c>
      <c r="D638" s="277">
        <f>LOOKUP(A638,'[3]PT'!$A$2:$A$725,'[3]PT'!$D$2:$D$725)</f>
        <v>381.6271</v>
      </c>
    </row>
    <row r="639" spans="1:4" ht="15" customHeight="1">
      <c r="A639" s="209" t="s">
        <v>624</v>
      </c>
      <c r="B639" s="206" t="s">
        <v>1621</v>
      </c>
      <c r="C639" s="209" t="s">
        <v>178</v>
      </c>
      <c r="D639" s="277">
        <f>LOOKUP(A639,'[3]PT'!$A$2:$A$725,'[3]PT'!$D$2:$D$725)</f>
        <v>680.7357</v>
      </c>
    </row>
    <row r="640" spans="1:4" ht="15" customHeight="1">
      <c r="A640" s="209" t="s">
        <v>625</v>
      </c>
      <c r="B640" s="206" t="s">
        <v>1622</v>
      </c>
      <c r="C640" s="209" t="s">
        <v>178</v>
      </c>
      <c r="D640" s="277">
        <f>LOOKUP(A640,'[3]PT'!$A$2:$A$725,'[3]PT'!$D$2:$D$725)</f>
        <v>24.265</v>
      </c>
    </row>
    <row r="641" spans="1:4" ht="15" customHeight="1">
      <c r="A641" s="209" t="s">
        <v>626</v>
      </c>
      <c r="B641" s="206" t="s">
        <v>1623</v>
      </c>
      <c r="C641" s="209" t="s">
        <v>178</v>
      </c>
      <c r="D641" s="277">
        <f>LOOKUP(A641,'[3]PT'!$A$2:$A$725,'[3]PT'!$D$2:$D$725)</f>
        <v>24.035</v>
      </c>
    </row>
    <row r="642" spans="1:4" ht="15" customHeight="1">
      <c r="A642" s="209" t="s">
        <v>627</v>
      </c>
      <c r="B642" s="206" t="s">
        <v>1624</v>
      </c>
      <c r="C642" s="209" t="s">
        <v>178</v>
      </c>
      <c r="D642" s="277">
        <f>LOOKUP(A642,'[3]PT'!$A$2:$A$725,'[3]PT'!$D$2:$D$725)</f>
        <v>28.76</v>
      </c>
    </row>
    <row r="643" spans="1:4" ht="15" customHeight="1">
      <c r="A643" s="209" t="s">
        <v>628</v>
      </c>
      <c r="B643" s="206" t="s">
        <v>1625</v>
      </c>
      <c r="C643" s="209" t="s">
        <v>178</v>
      </c>
      <c r="D643" s="277">
        <f>LOOKUP(A643,'[3]PT'!$A$2:$A$725,'[3]PT'!$D$2:$D$725)</f>
        <v>373.4116</v>
      </c>
    </row>
    <row r="644" spans="1:4" ht="15" customHeight="1">
      <c r="A644" s="209" t="s">
        <v>629</v>
      </c>
      <c r="B644" s="206" t="s">
        <v>1626</v>
      </c>
      <c r="C644" s="209" t="s">
        <v>178</v>
      </c>
      <c r="D644" s="277">
        <f>LOOKUP(A644,'[3]PT'!$A$2:$A$725,'[3]PT'!$D$2:$D$725)</f>
        <v>458.7827</v>
      </c>
    </row>
    <row r="645" spans="1:4" ht="15" customHeight="1">
      <c r="A645" s="209" t="s">
        <v>630</v>
      </c>
      <c r="B645" s="206" t="s">
        <v>1627</v>
      </c>
      <c r="C645" s="209" t="s">
        <v>178</v>
      </c>
      <c r="D645" s="277">
        <f>LOOKUP(A645,'[3]PT'!$A$2:$A$725,'[3]PT'!$D$2:$D$725)</f>
        <v>87.03</v>
      </c>
    </row>
    <row r="646" spans="1:4" ht="15" customHeight="1">
      <c r="A646" s="209" t="s">
        <v>631</v>
      </c>
      <c r="B646" s="206" t="s">
        <v>1628</v>
      </c>
      <c r="C646" s="209" t="s">
        <v>178</v>
      </c>
      <c r="D646" s="277">
        <f>LOOKUP(A646,'[3]PT'!$A$2:$A$725,'[3]PT'!$D$2:$D$725)</f>
        <v>183.8643</v>
      </c>
    </row>
    <row r="647" spans="1:4" ht="15" customHeight="1">
      <c r="A647" s="209" t="s">
        <v>632</v>
      </c>
      <c r="B647" s="206" t="s">
        <v>1629</v>
      </c>
      <c r="C647" s="209" t="s">
        <v>178</v>
      </c>
      <c r="D647" s="277">
        <f>LOOKUP(A647,'[3]PT'!$A$2:$A$725,'[3]PT'!$D$2:$D$725)</f>
        <v>163.8382</v>
      </c>
    </row>
    <row r="648" spans="1:4" ht="15" customHeight="1">
      <c r="A648" s="209" t="s">
        <v>633</v>
      </c>
      <c r="B648" s="206" t="s">
        <v>1630</v>
      </c>
      <c r="C648" s="209" t="s">
        <v>178</v>
      </c>
      <c r="D648" s="277">
        <f>LOOKUP(A648,'[3]PT'!$A$2:$A$725,'[3]PT'!$D$2:$D$725)</f>
        <v>25.7563</v>
      </c>
    </row>
    <row r="649" spans="1:4" ht="15" customHeight="1">
      <c r="A649" s="209" t="s">
        <v>634</v>
      </c>
      <c r="B649" s="206" t="s">
        <v>1631</v>
      </c>
      <c r="C649" s="209" t="s">
        <v>178</v>
      </c>
      <c r="D649" s="277">
        <f>LOOKUP(A649,'[3]PT'!$A$2:$A$725,'[3]PT'!$D$2:$D$725)</f>
        <v>18000</v>
      </c>
    </row>
    <row r="650" spans="1:4" ht="15" customHeight="1">
      <c r="A650" s="209" t="s">
        <v>635</v>
      </c>
      <c r="B650" s="206" t="s">
        <v>1632</v>
      </c>
      <c r="C650" s="209" t="s">
        <v>178</v>
      </c>
      <c r="D650" s="277">
        <f>LOOKUP(A650,'[3]PT'!$A$2:$A$725,'[3]PT'!$D$2:$D$725)</f>
        <v>11.43</v>
      </c>
    </row>
    <row r="651" spans="1:4" ht="15" customHeight="1">
      <c r="A651" s="209" t="s">
        <v>636</v>
      </c>
      <c r="B651" s="206" t="s">
        <v>1295</v>
      </c>
      <c r="C651" s="209" t="s">
        <v>178</v>
      </c>
      <c r="D651" s="277">
        <f>LOOKUP(A651,'[3]PT'!$A$2:$A$725,'[3]PT'!$D$2:$D$725)</f>
        <v>77.71</v>
      </c>
    </row>
    <row r="652" spans="1:4" ht="15" customHeight="1">
      <c r="A652" s="209" t="s">
        <v>637</v>
      </c>
      <c r="B652" s="206" t="s">
        <v>1633</v>
      </c>
      <c r="C652" s="209" t="s">
        <v>178</v>
      </c>
      <c r="D652" s="277">
        <f>LOOKUP(A652,'[3]PT'!$A$2:$A$725,'[3]PT'!$D$2:$D$725)</f>
        <v>164.6733</v>
      </c>
    </row>
    <row r="653" spans="1:4" ht="15" customHeight="1">
      <c r="A653" s="209" t="s">
        <v>638</v>
      </c>
      <c r="B653" s="206" t="s">
        <v>1302</v>
      </c>
      <c r="C653" s="209" t="s">
        <v>178</v>
      </c>
      <c r="D653" s="277">
        <f>LOOKUP(A653,'[3]PT'!$A$2:$A$725,'[3]PT'!$D$2:$D$725)</f>
        <v>3.61</v>
      </c>
    </row>
    <row r="654" spans="1:4" ht="15" customHeight="1">
      <c r="A654" s="209" t="s">
        <v>639</v>
      </c>
      <c r="B654" s="206" t="s">
        <v>1303</v>
      </c>
      <c r="C654" s="209" t="s">
        <v>178</v>
      </c>
      <c r="D654" s="277">
        <f>LOOKUP(A654,'[3]PT'!$A$2:$A$725,'[3]PT'!$D$2:$D$725)</f>
        <v>12.8559</v>
      </c>
    </row>
    <row r="655" spans="1:4" ht="15" customHeight="1">
      <c r="A655" s="209" t="s">
        <v>640</v>
      </c>
      <c r="B655" s="206" t="s">
        <v>1307</v>
      </c>
      <c r="C655" s="209" t="s">
        <v>178</v>
      </c>
      <c r="D655" s="277">
        <f>LOOKUP(A655,'[3]PT'!$A$2:$A$725,'[3]PT'!$D$2:$D$725)</f>
        <v>2.34</v>
      </c>
    </row>
    <row r="656" spans="1:4" ht="15" customHeight="1">
      <c r="A656" s="209" t="s">
        <v>641</v>
      </c>
      <c r="B656" s="206" t="s">
        <v>1634</v>
      </c>
      <c r="C656" s="209" t="s">
        <v>178</v>
      </c>
      <c r="D656" s="277">
        <f>LOOKUP(A656,'[3]PT'!$A$2:$A$725,'[3]PT'!$D$2:$D$725)</f>
        <v>7.2</v>
      </c>
    </row>
    <row r="657" spans="1:4" ht="15" customHeight="1">
      <c r="A657" s="209" t="s">
        <v>642</v>
      </c>
      <c r="B657" s="206" t="s">
        <v>1309</v>
      </c>
      <c r="C657" s="209" t="s">
        <v>178</v>
      </c>
      <c r="D657" s="277">
        <f>LOOKUP(A657,'[3]PT'!$A$2:$A$725,'[3]PT'!$D$2:$D$725)</f>
        <v>10.81</v>
      </c>
    </row>
    <row r="658" spans="1:4" ht="15" customHeight="1">
      <c r="A658" s="209" t="s">
        <v>643</v>
      </c>
      <c r="B658" s="206" t="s">
        <v>1311</v>
      </c>
      <c r="C658" s="209" t="s">
        <v>178</v>
      </c>
      <c r="D658" s="277">
        <f>LOOKUP(A658,'[3]PT'!$A$2:$A$725,'[3]PT'!$D$2:$D$725)</f>
        <v>1.92</v>
      </c>
    </row>
    <row r="659" spans="1:4" ht="15" customHeight="1">
      <c r="A659" s="209" t="s">
        <v>644</v>
      </c>
      <c r="B659" s="206" t="s">
        <v>1314</v>
      </c>
      <c r="C659" s="209" t="s">
        <v>178</v>
      </c>
      <c r="D659" s="277">
        <f>LOOKUP(A659,'[3]PT'!$A$2:$A$725,'[3]PT'!$D$2:$D$725)</f>
        <v>11.12</v>
      </c>
    </row>
    <row r="660" spans="1:4" ht="15" customHeight="1">
      <c r="A660" s="209" t="s">
        <v>645</v>
      </c>
      <c r="B660" s="206" t="s">
        <v>646</v>
      </c>
      <c r="C660" s="209" t="s">
        <v>1810</v>
      </c>
      <c r="D660" s="277">
        <f>LOOKUP(A660,'[3]PT'!$A$2:$A$725,'[3]PT'!$D$2:$D$725)</f>
        <v>2.5532</v>
      </c>
    </row>
    <row r="661" spans="1:4" ht="15" customHeight="1">
      <c r="A661" s="209" t="s">
        <v>647</v>
      </c>
      <c r="B661" s="206" t="s">
        <v>1635</v>
      </c>
      <c r="C661" s="209" t="s">
        <v>178</v>
      </c>
      <c r="D661" s="277">
        <f>LOOKUP(A661,'[3]PT'!$A$2:$A$725,'[3]PT'!$D$2:$D$725)</f>
        <v>4.55</v>
      </c>
    </row>
    <row r="662" spans="1:4" ht="15" customHeight="1">
      <c r="A662" s="209" t="s">
        <v>648</v>
      </c>
      <c r="B662" s="206" t="s">
        <v>649</v>
      </c>
      <c r="C662" s="209" t="s">
        <v>178</v>
      </c>
      <c r="D662" s="277">
        <f>LOOKUP(A662,'[3]PT'!$A$2:$A$725,'[3]PT'!$D$2:$D$725)</f>
        <v>17.61</v>
      </c>
    </row>
    <row r="663" spans="1:4" ht="15" customHeight="1">
      <c r="A663" s="209" t="s">
        <v>1038</v>
      </c>
      <c r="B663" s="206" t="s">
        <v>650</v>
      </c>
      <c r="C663" s="209" t="s">
        <v>178</v>
      </c>
      <c r="D663" s="277">
        <f>LOOKUP(A663,'[3]PT'!$A$2:$A$725,'[3]PT'!$D$2:$D$725)</f>
        <v>79660.63</v>
      </c>
    </row>
    <row r="664" spans="1:4" ht="15" customHeight="1">
      <c r="A664" s="209" t="s">
        <v>651</v>
      </c>
      <c r="B664" s="206" t="s">
        <v>652</v>
      </c>
      <c r="C664" s="209" t="s">
        <v>178</v>
      </c>
      <c r="D664" s="277">
        <f>LOOKUP(A664,'[3]PT'!$A$2:$A$725,'[3]PT'!$D$2:$D$725)</f>
        <v>565898.8556</v>
      </c>
    </row>
    <row r="665" spans="1:4" ht="15" customHeight="1">
      <c r="A665" s="209" t="s">
        <v>653</v>
      </c>
      <c r="B665" s="206" t="s">
        <v>654</v>
      </c>
      <c r="C665" s="209" t="s">
        <v>178</v>
      </c>
      <c r="D665" s="277">
        <f>LOOKUP(A665,'[3]PT'!$A$2:$A$725,'[3]PT'!$D$2:$D$725)</f>
        <v>85696.5025</v>
      </c>
    </row>
    <row r="666" spans="1:4" ht="15" customHeight="1">
      <c r="A666" s="209" t="s">
        <v>655</v>
      </c>
      <c r="B666" s="206" t="s">
        <v>656</v>
      </c>
      <c r="C666" s="209" t="s">
        <v>178</v>
      </c>
      <c r="D666" s="277">
        <f>LOOKUP(A666,'[3]PT'!$A$2:$A$725,'[3]PT'!$D$2:$D$725)</f>
        <v>21627.1636</v>
      </c>
    </row>
    <row r="667" spans="1:4" ht="15" customHeight="1">
      <c r="A667" s="209" t="s">
        <v>657</v>
      </c>
      <c r="B667" s="206" t="s">
        <v>658</v>
      </c>
      <c r="C667" s="209" t="s">
        <v>178</v>
      </c>
      <c r="D667" s="277">
        <f>LOOKUP(A667,'[3]PT'!$A$2:$A$725,'[3]PT'!$D$2:$D$725)</f>
        <v>15524.6797</v>
      </c>
    </row>
    <row r="668" spans="1:4" ht="15" customHeight="1">
      <c r="A668" s="209" t="s">
        <v>659</v>
      </c>
      <c r="B668" s="206" t="s">
        <v>660</v>
      </c>
      <c r="C668" s="209" t="s">
        <v>178</v>
      </c>
      <c r="D668" s="277">
        <f>LOOKUP(A668,'[3]PT'!$A$2:$A$725,'[3]PT'!$D$2:$D$725)</f>
        <v>221586</v>
      </c>
    </row>
    <row r="669" spans="1:4" ht="15" customHeight="1">
      <c r="A669" s="209" t="s">
        <v>661</v>
      </c>
      <c r="B669" s="206" t="s">
        <v>662</v>
      </c>
      <c r="C669" s="209" t="s">
        <v>178</v>
      </c>
      <c r="D669" s="277">
        <f>LOOKUP(A669,'[3]PT'!$A$2:$A$725,'[3]PT'!$D$2:$D$725)</f>
        <v>44728.1076</v>
      </c>
    </row>
    <row r="670" spans="1:4" ht="15" customHeight="1">
      <c r="A670" s="209" t="s">
        <v>663</v>
      </c>
      <c r="B670" s="206" t="s">
        <v>664</v>
      </c>
      <c r="C670" s="209" t="s">
        <v>178</v>
      </c>
      <c r="D670" s="277">
        <f>LOOKUP(A670,'[3]PT'!$A$2:$A$725,'[3]PT'!$D$2:$D$725)</f>
        <v>450952.1423</v>
      </c>
    </row>
    <row r="671" spans="1:4" ht="15" customHeight="1">
      <c r="A671" s="209" t="s">
        <v>665</v>
      </c>
      <c r="B671" s="206" t="s">
        <v>666</v>
      </c>
      <c r="C671" s="209" t="s">
        <v>178</v>
      </c>
      <c r="D671" s="277">
        <f>LOOKUP(A671,'[3]PT'!$A$2:$A$725,'[3]PT'!$D$2:$D$725)</f>
        <v>27121.9666</v>
      </c>
    </row>
    <row r="672" spans="1:4" ht="15" customHeight="1">
      <c r="A672" s="209" t="s">
        <v>667</v>
      </c>
      <c r="B672" s="206" t="s">
        <v>1506</v>
      </c>
      <c r="C672" s="209" t="s">
        <v>178</v>
      </c>
      <c r="D672" s="277">
        <f>LOOKUP(A672,'[3]PT'!$A$2:$A$725,'[3]PT'!$D$2:$D$725)</f>
        <v>147560.7948</v>
      </c>
    </row>
    <row r="673" spans="1:4" ht="15" customHeight="1">
      <c r="A673" s="209" t="s">
        <v>668</v>
      </c>
      <c r="B673" s="206" t="s">
        <v>1508</v>
      </c>
      <c r="C673" s="209" t="s">
        <v>178</v>
      </c>
      <c r="D673" s="277">
        <f>LOOKUP(A673,'[3]PT'!$A$2:$A$725,'[3]PT'!$D$2:$D$725)</f>
        <v>85003.06</v>
      </c>
    </row>
    <row r="674" spans="1:4" ht="15" customHeight="1">
      <c r="A674" s="209" t="s">
        <v>669</v>
      </c>
      <c r="B674" s="206" t="s">
        <v>670</v>
      </c>
      <c r="C674" s="209" t="s">
        <v>178</v>
      </c>
      <c r="D674" s="277">
        <f>LOOKUP(A674,'[3]PT'!$A$2:$A$725,'[3]PT'!$D$2:$D$725)</f>
        <v>240485.8984</v>
      </c>
    </row>
    <row r="675" spans="1:4" ht="15" customHeight="1">
      <c r="A675" s="209" t="s">
        <v>671</v>
      </c>
      <c r="B675" s="206" t="s">
        <v>1510</v>
      </c>
      <c r="C675" s="209" t="s">
        <v>178</v>
      </c>
      <c r="D675" s="277">
        <f>LOOKUP(A675,'[3]PT'!$A$2:$A$725,'[3]PT'!$D$2:$D$725)</f>
        <v>143413.2215</v>
      </c>
    </row>
    <row r="676" spans="1:4" ht="15" customHeight="1">
      <c r="A676" s="209" t="s">
        <v>672</v>
      </c>
      <c r="B676" s="206" t="s">
        <v>673</v>
      </c>
      <c r="C676" s="209" t="s">
        <v>178</v>
      </c>
      <c r="D676" s="277">
        <f>LOOKUP(A676,'[3]PT'!$A$2:$A$725,'[3]PT'!$D$2:$D$725)</f>
        <v>200644.61</v>
      </c>
    </row>
    <row r="677" spans="1:4" ht="15" customHeight="1">
      <c r="A677" s="209" t="s">
        <v>1072</v>
      </c>
      <c r="B677" s="206" t="s">
        <v>674</v>
      </c>
      <c r="C677" s="209" t="s">
        <v>178</v>
      </c>
      <c r="D677" s="277">
        <f>LOOKUP(A677,'[3]PT'!$A$2:$A$725,'[3]PT'!$D$2:$D$725)</f>
        <v>40274.3</v>
      </c>
    </row>
    <row r="678" spans="1:4" ht="15" customHeight="1">
      <c r="A678" s="209" t="s">
        <v>675</v>
      </c>
      <c r="B678" s="206" t="s">
        <v>676</v>
      </c>
      <c r="C678" s="209" t="s">
        <v>178</v>
      </c>
      <c r="D678" s="277">
        <f>LOOKUP(A678,'[3]PT'!$A$2:$A$725,'[3]PT'!$D$2:$D$725)</f>
        <v>7345800</v>
      </c>
    </row>
    <row r="679" spans="1:4" ht="15" customHeight="1">
      <c r="A679" s="209" t="s">
        <v>677</v>
      </c>
      <c r="B679" s="206" t="s">
        <v>678</v>
      </c>
      <c r="C679" s="209" t="s">
        <v>178</v>
      </c>
      <c r="D679" s="277">
        <f>LOOKUP(A679,'[3]PT'!$A$2:$A$725,'[3]PT'!$D$2:$D$725)</f>
        <v>220374</v>
      </c>
    </row>
    <row r="680" spans="1:4" ht="15" customHeight="1">
      <c r="A680" s="209" t="s">
        <v>679</v>
      </c>
      <c r="B680" s="206" t="s">
        <v>680</v>
      </c>
      <c r="C680" s="209" t="s">
        <v>178</v>
      </c>
      <c r="D680" s="277">
        <f>LOOKUP(A680,'[3]PT'!$A$2:$A$725,'[3]PT'!$D$2:$D$725)</f>
        <v>3444000</v>
      </c>
    </row>
    <row r="681" spans="1:4" ht="15" customHeight="1">
      <c r="A681" s="209" t="s">
        <v>681</v>
      </c>
      <c r="B681" s="206" t="s">
        <v>682</v>
      </c>
      <c r="C681" s="209" t="s">
        <v>178</v>
      </c>
      <c r="D681" s="277">
        <f>LOOKUP(A681,'[3]PT'!$A$2:$A$725,'[3]PT'!$D$2:$D$725)</f>
        <v>1975204</v>
      </c>
    </row>
    <row r="682" spans="1:4" ht="15" customHeight="1">
      <c r="A682" s="209" t="s">
        <v>683</v>
      </c>
      <c r="B682" s="206" t="s">
        <v>684</v>
      </c>
      <c r="C682" s="209" t="s">
        <v>178</v>
      </c>
      <c r="D682" s="277">
        <f>LOOKUP(A682,'[3]PT'!$A$2:$A$725,'[3]PT'!$D$2:$D$725)</f>
        <v>1900</v>
      </c>
    </row>
    <row r="683" spans="1:4" ht="15" customHeight="1">
      <c r="A683" s="209" t="s">
        <v>685</v>
      </c>
      <c r="B683" s="206" t="s">
        <v>686</v>
      </c>
      <c r="C683" s="209" t="s">
        <v>178</v>
      </c>
      <c r="D683" s="277">
        <f>LOOKUP(A683,'[3]PT'!$A$2:$A$725,'[3]PT'!$D$2:$D$725)</f>
        <v>495.5099</v>
      </c>
    </row>
    <row r="684" spans="1:4" ht="15" customHeight="1">
      <c r="A684" s="209" t="s">
        <v>687</v>
      </c>
      <c r="B684" s="206" t="s">
        <v>688</v>
      </c>
      <c r="C684" s="209" t="s">
        <v>178</v>
      </c>
      <c r="D684" s="277">
        <f>LOOKUP(A684,'[3]PT'!$A$2:$A$725,'[3]PT'!$D$2:$D$725)</f>
        <v>20000</v>
      </c>
    </row>
    <row r="685" spans="1:4" ht="15" customHeight="1">
      <c r="A685" s="209" t="s">
        <v>689</v>
      </c>
      <c r="B685" s="206" t="s">
        <v>690</v>
      </c>
      <c r="C685" s="209" t="s">
        <v>348</v>
      </c>
      <c r="D685" s="277">
        <f>LOOKUP(A685,'[3]PT'!$A$2:$A$725,'[3]PT'!$D$2:$D$725)</f>
        <v>8.94</v>
      </c>
    </row>
    <row r="686" spans="1:4" ht="15" customHeight="1">
      <c r="A686" s="209" t="s">
        <v>691</v>
      </c>
      <c r="B686" s="206" t="s">
        <v>692</v>
      </c>
      <c r="C686" s="209" t="s">
        <v>348</v>
      </c>
      <c r="D686" s="277">
        <f>LOOKUP(A686,'[3]PT'!$A$2:$A$725,'[3]PT'!$D$2:$D$725)</f>
        <v>9.04</v>
      </c>
    </row>
    <row r="687" spans="1:4" ht="15" customHeight="1">
      <c r="A687" s="209" t="s">
        <v>1045</v>
      </c>
      <c r="B687" s="206" t="s">
        <v>1044</v>
      </c>
      <c r="C687" s="209" t="s">
        <v>1966</v>
      </c>
      <c r="D687" s="277">
        <f>LOOKUP(A687,'[3]PT'!$A$2:$A$725,'[3]PT'!$D$2:$D$725)</f>
        <v>5.7</v>
      </c>
    </row>
    <row r="688" spans="1:4" ht="15" customHeight="1">
      <c r="A688" s="209" t="s">
        <v>693</v>
      </c>
      <c r="B688" s="206" t="s">
        <v>694</v>
      </c>
      <c r="C688" s="209" t="s">
        <v>178</v>
      </c>
      <c r="D688" s="277">
        <f>LOOKUP(A688,'[3]PT'!$A$2:$A$725,'[3]PT'!$D$2:$D$725)</f>
        <v>1126356</v>
      </c>
    </row>
    <row r="689" spans="1:4" ht="15" customHeight="1">
      <c r="A689" s="209" t="s">
        <v>695</v>
      </c>
      <c r="B689" s="206" t="s">
        <v>696</v>
      </c>
      <c r="C689" s="209" t="s">
        <v>178</v>
      </c>
      <c r="D689" s="277">
        <f>LOOKUP(A689,'[3]PT'!$A$2:$A$725,'[3]PT'!$D$2:$D$725)</f>
        <v>3093398</v>
      </c>
    </row>
    <row r="690" spans="1:4" ht="15" customHeight="1">
      <c r="A690" s="209" t="s">
        <v>697</v>
      </c>
      <c r="B690" s="206" t="s">
        <v>698</v>
      </c>
      <c r="C690" s="209" t="s">
        <v>178</v>
      </c>
      <c r="D690" s="277">
        <f>LOOKUP(A690,'[3]PT'!$A$2:$A$725,'[3]PT'!$D$2:$D$725)</f>
        <v>979440</v>
      </c>
    </row>
    <row r="691" spans="1:4" ht="15" customHeight="1">
      <c r="A691" s="209" t="s">
        <v>699</v>
      </c>
      <c r="B691" s="206" t="s">
        <v>700</v>
      </c>
      <c r="C691" s="209" t="s">
        <v>397</v>
      </c>
      <c r="D691" s="277">
        <f>LOOKUP(A691,'[3]PT'!$A$2:$A$725,'[3]PT'!$D$2:$D$725)</f>
        <v>525</v>
      </c>
    </row>
    <row r="692" spans="1:4" ht="15" customHeight="1">
      <c r="A692" s="209" t="s">
        <v>701</v>
      </c>
      <c r="B692" s="206" t="s">
        <v>702</v>
      </c>
      <c r="C692" s="209" t="s">
        <v>1966</v>
      </c>
      <c r="D692" s="277">
        <f>LOOKUP(A692,'[3]PT'!$A$2:$A$725,'[3]PT'!$D$2:$D$725)</f>
        <v>41.53</v>
      </c>
    </row>
    <row r="693" spans="1:4" ht="15" customHeight="1">
      <c r="A693" s="209" t="s">
        <v>703</v>
      </c>
      <c r="B693" s="206" t="s">
        <v>704</v>
      </c>
      <c r="C693" s="209" t="s">
        <v>178</v>
      </c>
      <c r="D693" s="277">
        <f>LOOKUP(A693,'[3]PT'!$A$2:$A$725,'[3]PT'!$D$2:$D$725)</f>
        <v>85.3033</v>
      </c>
    </row>
    <row r="694" spans="1:4" ht="15" customHeight="1">
      <c r="A694" s="209" t="s">
        <v>705</v>
      </c>
      <c r="B694" s="206" t="s">
        <v>706</v>
      </c>
      <c r="C694" s="209" t="s">
        <v>178</v>
      </c>
      <c r="D694" s="277">
        <f>LOOKUP(A694,'[3]PT'!$A$2:$A$725,'[3]PT'!$D$2:$D$725)</f>
        <v>109.0767</v>
      </c>
    </row>
    <row r="695" spans="1:4" ht="15" customHeight="1">
      <c r="A695" s="209" t="s">
        <v>707</v>
      </c>
      <c r="B695" s="206" t="s">
        <v>708</v>
      </c>
      <c r="C695" s="209" t="s">
        <v>1810</v>
      </c>
      <c r="D695" s="277">
        <f>LOOKUP(A695,'[3]PT'!$A$2:$A$725,'[3]PT'!$D$2:$D$725)</f>
        <v>2.0454</v>
      </c>
    </row>
    <row r="696" spans="1:4" ht="15" customHeight="1">
      <c r="A696" s="209" t="s">
        <v>709</v>
      </c>
      <c r="B696" s="206" t="s">
        <v>710</v>
      </c>
      <c r="C696" s="209" t="s">
        <v>1810</v>
      </c>
      <c r="D696" s="277">
        <f>LOOKUP(A696,'[3]PT'!$A$2:$A$725,'[3]PT'!$D$2:$D$725)</f>
        <v>6.3422</v>
      </c>
    </row>
    <row r="697" spans="1:4" ht="15" customHeight="1">
      <c r="A697" s="209" t="s">
        <v>711</v>
      </c>
      <c r="B697" s="206" t="s">
        <v>712</v>
      </c>
      <c r="C697" s="209" t="s">
        <v>178</v>
      </c>
      <c r="D697" s="277">
        <f>LOOKUP(A697,'[3]PT'!$A$2:$A$725,'[3]PT'!$D$2:$D$725)</f>
        <v>24.79</v>
      </c>
    </row>
    <row r="698" spans="1:4" ht="15" customHeight="1">
      <c r="A698" s="209" t="s">
        <v>713</v>
      </c>
      <c r="B698" s="206" t="s">
        <v>714</v>
      </c>
      <c r="C698" s="209" t="s">
        <v>1810</v>
      </c>
      <c r="D698" s="277">
        <f>LOOKUP(A698,'[3]PT'!$A$2:$A$725,'[3]PT'!$D$2:$D$725)</f>
        <v>107.44</v>
      </c>
    </row>
    <row r="699" spans="1:17" ht="15" customHeight="1">
      <c r="A699" s="235" t="s">
        <v>715</v>
      </c>
      <c r="B699" s="234" t="s">
        <v>716</v>
      </c>
      <c r="C699" s="235" t="s">
        <v>1810</v>
      </c>
      <c r="D699" s="277">
        <v>52.05</v>
      </c>
      <c r="Q699" s="408">
        <v>52.05</v>
      </c>
    </row>
    <row r="700" spans="1:4" ht="15" customHeight="1">
      <c r="A700" s="209" t="s">
        <v>1322</v>
      </c>
      <c r="B700" s="206" t="s">
        <v>717</v>
      </c>
      <c r="C700" s="209" t="s">
        <v>178</v>
      </c>
      <c r="D700" s="277">
        <f>LOOKUP(A700,'[3]PT'!$A$2:$A$725,'[3]PT'!$D$2:$D$725)</f>
        <v>21.685</v>
      </c>
    </row>
    <row r="701" spans="1:4" ht="15" customHeight="1">
      <c r="A701" s="209" t="s">
        <v>1323</v>
      </c>
      <c r="B701" s="206" t="s">
        <v>1335</v>
      </c>
      <c r="C701" s="209" t="s">
        <v>178</v>
      </c>
      <c r="D701" s="277">
        <f>LOOKUP(A701,'[3]PT'!$A$2:$A$725,'[3]PT'!$D$2:$D$725)</f>
        <v>204.9599</v>
      </c>
    </row>
    <row r="702" spans="1:4" ht="15" customHeight="1">
      <c r="A702" s="209" t="s">
        <v>718</v>
      </c>
      <c r="B702" s="206" t="s">
        <v>719</v>
      </c>
      <c r="C702" s="209" t="s">
        <v>1810</v>
      </c>
      <c r="D702" s="277">
        <f>LOOKUP(A702,'[3]PT'!$A$2:$A$725,'[3]PT'!$D$2:$D$725)</f>
        <v>46.7322</v>
      </c>
    </row>
    <row r="703" spans="1:4" ht="15" customHeight="1">
      <c r="A703" s="209" t="s">
        <v>1326</v>
      </c>
      <c r="B703" s="206" t="s">
        <v>720</v>
      </c>
      <c r="C703" s="209" t="s">
        <v>178</v>
      </c>
      <c r="D703" s="277">
        <f>LOOKUP(A703,'[3]PT'!$A$2:$A$725,'[3]PT'!$D$2:$D$725)</f>
        <v>10.09</v>
      </c>
    </row>
    <row r="704" spans="1:4" ht="15" customHeight="1">
      <c r="A704" s="209" t="s">
        <v>1329</v>
      </c>
      <c r="B704" s="206" t="s">
        <v>721</v>
      </c>
      <c r="C704" s="209" t="s">
        <v>178</v>
      </c>
      <c r="D704" s="277">
        <f>LOOKUP(A704,'[3]PT'!$A$2:$A$725,'[3]PT'!$D$2:$D$725)</f>
        <v>12.075</v>
      </c>
    </row>
    <row r="705" spans="1:4" ht="15" customHeight="1">
      <c r="A705" s="209" t="s">
        <v>1330</v>
      </c>
      <c r="B705" s="206" t="s">
        <v>722</v>
      </c>
      <c r="C705" s="209" t="s">
        <v>178</v>
      </c>
      <c r="D705" s="277">
        <f>LOOKUP(A705,'[3]PT'!$A$2:$A$725,'[3]PT'!$D$2:$D$725)</f>
        <v>17.215</v>
      </c>
    </row>
    <row r="706" spans="1:4" ht="15" customHeight="1">
      <c r="A706" s="209" t="s">
        <v>1331</v>
      </c>
      <c r="B706" s="206" t="s">
        <v>723</v>
      </c>
      <c r="C706" s="209" t="s">
        <v>178</v>
      </c>
      <c r="D706" s="277">
        <f>LOOKUP(A706,'[3]PT'!$A$2:$A$725,'[3]PT'!$D$2:$D$725)</f>
        <v>28.78</v>
      </c>
    </row>
    <row r="707" spans="1:4" ht="15" customHeight="1">
      <c r="A707" s="209" t="s">
        <v>724</v>
      </c>
      <c r="B707" s="206" t="s">
        <v>725</v>
      </c>
      <c r="C707" s="209" t="s">
        <v>178</v>
      </c>
      <c r="D707" s="277">
        <f>LOOKUP(A707,'[3]PT'!$A$2:$A$725,'[3]PT'!$D$2:$D$725)</f>
        <v>168.44</v>
      </c>
    </row>
    <row r="708" spans="1:4" ht="15" customHeight="1">
      <c r="A708" s="209" t="s">
        <v>726</v>
      </c>
      <c r="B708" s="206" t="s">
        <v>727</v>
      </c>
      <c r="C708" s="209" t="s">
        <v>178</v>
      </c>
      <c r="D708" s="277">
        <f>LOOKUP(A708,'[3]PT'!$A$2:$A$725,'[3]PT'!$D$2:$D$725)</f>
        <v>35.2</v>
      </c>
    </row>
    <row r="709" spans="1:4" ht="15" customHeight="1">
      <c r="A709" s="209" t="s">
        <v>728</v>
      </c>
      <c r="B709" s="206" t="s">
        <v>729</v>
      </c>
      <c r="C709" s="209" t="s">
        <v>178</v>
      </c>
      <c r="D709" s="277">
        <f>LOOKUP(A709,'[3]PT'!$A$2:$A$725,'[3]PT'!$D$2:$D$725)</f>
        <v>30.305</v>
      </c>
    </row>
    <row r="710" spans="1:4" ht="15" customHeight="1">
      <c r="A710" s="209" t="s">
        <v>730</v>
      </c>
      <c r="B710" s="206" t="s">
        <v>731</v>
      </c>
      <c r="C710" s="209" t="s">
        <v>178</v>
      </c>
      <c r="D710" s="277">
        <f>LOOKUP(A710,'[3]PT'!$A$2:$A$725,'[3]PT'!$D$2:$D$725)</f>
        <v>5.36</v>
      </c>
    </row>
    <row r="711" spans="1:4" ht="15" customHeight="1">
      <c r="A711" s="209" t="s">
        <v>732</v>
      </c>
      <c r="B711" s="206" t="s">
        <v>733</v>
      </c>
      <c r="C711" s="209" t="s">
        <v>1810</v>
      </c>
      <c r="D711" s="277">
        <f>LOOKUP(A711,'[3]PT'!$A$2:$A$725,'[3]PT'!$D$2:$D$725)</f>
        <v>7.14</v>
      </c>
    </row>
    <row r="712" spans="1:4" ht="15" customHeight="1">
      <c r="A712" s="209" t="s">
        <v>734</v>
      </c>
      <c r="B712" s="206" t="s">
        <v>735</v>
      </c>
      <c r="C712" s="209" t="s">
        <v>1810</v>
      </c>
      <c r="D712" s="277">
        <f>LOOKUP(A712,'[3]PT'!$A$2:$A$725,'[3]PT'!$D$2:$D$725)</f>
        <v>27.87</v>
      </c>
    </row>
    <row r="713" spans="1:4" ht="15" customHeight="1">
      <c r="A713" s="209" t="s">
        <v>736</v>
      </c>
      <c r="B713" s="206" t="s">
        <v>737</v>
      </c>
      <c r="C713" s="209" t="s">
        <v>1810</v>
      </c>
      <c r="D713" s="277">
        <f>LOOKUP(A713,'[3]PT'!$A$2:$A$725,'[3]PT'!$D$2:$D$725)</f>
        <v>44.3</v>
      </c>
    </row>
    <row r="714" spans="1:4" ht="15" customHeight="1">
      <c r="A714" s="209" t="s">
        <v>738</v>
      </c>
      <c r="B714" s="206" t="s">
        <v>739</v>
      </c>
      <c r="C714" s="209" t="s">
        <v>1810</v>
      </c>
      <c r="D714" s="277">
        <f>LOOKUP(A714,'[3]PT'!$A$2:$A$725,'[3]PT'!$D$2:$D$725)</f>
        <v>88.96</v>
      </c>
    </row>
    <row r="715" spans="1:4" ht="15" customHeight="1">
      <c r="A715" s="209" t="s">
        <v>740</v>
      </c>
      <c r="B715" s="206" t="s">
        <v>741</v>
      </c>
      <c r="C715" s="209" t="s">
        <v>178</v>
      </c>
      <c r="D715" s="277">
        <f>LOOKUP(A715,'[3]PT'!$A$2:$A$725,'[3]PT'!$D$2:$D$725)</f>
        <v>2.07</v>
      </c>
    </row>
    <row r="716" spans="1:4" ht="15" customHeight="1">
      <c r="A716" s="209" t="s">
        <v>742</v>
      </c>
      <c r="B716" s="206" t="s">
        <v>743</v>
      </c>
      <c r="C716" s="209" t="s">
        <v>178</v>
      </c>
      <c r="D716" s="277">
        <f>LOOKUP(A716,'[3]PT'!$A$2:$A$725,'[3]PT'!$D$2:$D$725)</f>
        <v>4.13</v>
      </c>
    </row>
    <row r="717" spans="1:4" ht="15" customHeight="1">
      <c r="A717" s="209" t="s">
        <v>744</v>
      </c>
      <c r="B717" s="206" t="s">
        <v>745</v>
      </c>
      <c r="C717" s="209" t="s">
        <v>178</v>
      </c>
      <c r="D717" s="277">
        <f>LOOKUP(A717,'[3]PT'!$A$2:$A$725,'[3]PT'!$D$2:$D$725)</f>
        <v>36.11</v>
      </c>
    </row>
    <row r="718" spans="1:4" ht="15" customHeight="1">
      <c r="A718" s="209" t="s">
        <v>746</v>
      </c>
      <c r="B718" s="206" t="s">
        <v>747</v>
      </c>
      <c r="C718" s="209" t="s">
        <v>178</v>
      </c>
      <c r="D718" s="277">
        <f>LOOKUP(A718,'[3]PT'!$A$2:$A$725,'[3]PT'!$D$2:$D$725)</f>
        <v>122.328</v>
      </c>
    </row>
    <row r="719" spans="1:4" ht="15" customHeight="1">
      <c r="A719" s="209" t="s">
        <v>748</v>
      </c>
      <c r="B719" s="206" t="s">
        <v>749</v>
      </c>
      <c r="C719" s="209" t="s">
        <v>178</v>
      </c>
      <c r="D719" s="277">
        <f>LOOKUP(A719,'[3]PT'!$A$2:$A$725,'[3]PT'!$D$2:$D$725)</f>
        <v>147.77</v>
      </c>
    </row>
    <row r="720" spans="1:4" ht="15" customHeight="1">
      <c r="A720" s="209" t="s">
        <v>750</v>
      </c>
      <c r="B720" s="206" t="s">
        <v>751</v>
      </c>
      <c r="C720" s="209" t="s">
        <v>178</v>
      </c>
      <c r="D720" s="277">
        <f>LOOKUP(A720,'[3]PT'!$A$2:$A$725,'[3]PT'!$D$2:$D$725)</f>
        <v>317.44</v>
      </c>
    </row>
    <row r="721" spans="1:4" ht="15" customHeight="1">
      <c r="A721" s="209" t="s">
        <v>752</v>
      </c>
      <c r="B721" s="206" t="s">
        <v>753</v>
      </c>
      <c r="C721" s="209" t="s">
        <v>178</v>
      </c>
      <c r="D721" s="277">
        <f>LOOKUP(A721,'[3]PT'!$A$2:$A$725,'[3]PT'!$D$2:$D$725)</f>
        <v>10.88</v>
      </c>
    </row>
    <row r="722" spans="1:4" ht="15" customHeight="1">
      <c r="A722" s="209" t="s">
        <v>754</v>
      </c>
      <c r="B722" s="206" t="s">
        <v>755</v>
      </c>
      <c r="C722" s="209" t="s">
        <v>178</v>
      </c>
      <c r="D722" s="277">
        <f>LOOKUP(A722,'[3]PT'!$A$2:$A$725,'[3]PT'!$D$2:$D$725)</f>
        <v>6.53</v>
      </c>
    </row>
    <row r="723" spans="1:4" ht="15" customHeight="1">
      <c r="A723" s="209" t="s">
        <v>756</v>
      </c>
      <c r="B723" s="206" t="s">
        <v>757</v>
      </c>
      <c r="C723" s="209" t="s">
        <v>178</v>
      </c>
      <c r="D723" s="277">
        <f>LOOKUP(A723,'[3]PT'!$A$2:$A$725,'[3]PT'!$D$2:$D$725)</f>
        <v>29</v>
      </c>
    </row>
    <row r="724" spans="1:4" ht="15" customHeight="1">
      <c r="A724" s="209" t="s">
        <v>758</v>
      </c>
      <c r="B724" s="206" t="s">
        <v>1334</v>
      </c>
      <c r="C724" s="209" t="s">
        <v>178</v>
      </c>
      <c r="D724" s="277">
        <f>LOOKUP(A724,'[3]PT'!$A$2:$A$725,'[3]PT'!$D$2:$D$725)</f>
        <v>140.6754</v>
      </c>
    </row>
    <row r="725" spans="1:4" ht="15" customHeight="1">
      <c r="A725" s="209" t="s">
        <v>759</v>
      </c>
      <c r="B725" s="206" t="s">
        <v>760</v>
      </c>
      <c r="C725" s="209" t="s">
        <v>178</v>
      </c>
      <c r="D725" s="277">
        <f>LOOKUP(A725,'[3]PT'!$A$2:$A$725,'[3]PT'!$D$2:$D$725)</f>
        <v>89.26</v>
      </c>
    </row>
    <row r="726" spans="1:4" ht="15" customHeight="1">
      <c r="A726" s="209" t="s">
        <v>761</v>
      </c>
      <c r="B726" s="206" t="s">
        <v>762</v>
      </c>
      <c r="C726" s="209" t="s">
        <v>178</v>
      </c>
      <c r="D726" s="277">
        <f>LOOKUP(A726,'[3]PT'!$A$2:$A$725,'[3]PT'!$D$2:$D$725)</f>
        <v>216.53</v>
      </c>
    </row>
    <row r="727" spans="1:4" ht="15" customHeight="1">
      <c r="A727" s="209" t="s">
        <v>763</v>
      </c>
      <c r="B727" s="206" t="s">
        <v>764</v>
      </c>
      <c r="C727" s="209" t="s">
        <v>1948</v>
      </c>
      <c r="D727" s="277">
        <f>LOOKUP(A727,'[3]PT'!$A$2:$A$725,'[3]PT'!$D$2:$D$725)</f>
        <v>1600</v>
      </c>
    </row>
    <row r="728" spans="1:4" ht="15" customHeight="1">
      <c r="A728" s="209" t="s">
        <v>765</v>
      </c>
      <c r="B728" s="206" t="s">
        <v>766</v>
      </c>
      <c r="C728" s="209" t="s">
        <v>178</v>
      </c>
      <c r="D728" s="277">
        <f>LOOKUP(A728,'[3]PT'!$A$2:$A$725,'[3]PT'!$D$2:$D$725)</f>
        <v>5.97</v>
      </c>
    </row>
    <row r="729" spans="1:4" ht="15" customHeight="1">
      <c r="A729" s="209" t="s">
        <v>767</v>
      </c>
      <c r="B729" s="206" t="s">
        <v>768</v>
      </c>
      <c r="C729" s="209" t="s">
        <v>178</v>
      </c>
      <c r="D729" s="277">
        <f>LOOKUP(A729,'[3]PT'!$A$2:$A$725,'[3]PT'!$D$2:$D$725)</f>
        <v>6.67</v>
      </c>
    </row>
    <row r="730" spans="1:4" ht="15" customHeight="1">
      <c r="A730" s="209" t="s">
        <v>769</v>
      </c>
      <c r="B730" s="206" t="s">
        <v>770</v>
      </c>
      <c r="C730" s="209" t="s">
        <v>178</v>
      </c>
      <c r="D730" s="277">
        <f>LOOKUP(A730,'[3]PT'!$A$2:$A$725,'[3]PT'!$D$2:$D$725)</f>
        <v>15.57</v>
      </c>
    </row>
    <row r="731" spans="1:4" ht="15" customHeight="1">
      <c r="A731" s="209" t="s">
        <v>771</v>
      </c>
      <c r="B731" s="206" t="s">
        <v>772</v>
      </c>
      <c r="C731" s="209" t="s">
        <v>1948</v>
      </c>
      <c r="D731" s="277">
        <f>LOOKUP(A731,'[3]PT'!$A$2:$A$725,'[3]PT'!$D$2:$D$725)</f>
        <v>2100</v>
      </c>
    </row>
    <row r="732" spans="1:4" ht="15" customHeight="1">
      <c r="A732" s="209" t="s">
        <v>773</v>
      </c>
      <c r="B732" s="206" t="s">
        <v>774</v>
      </c>
      <c r="C732" s="209" t="s">
        <v>1948</v>
      </c>
      <c r="D732" s="277">
        <f>LOOKUP(A732,'[3]PT'!$A$2:$A$725,'[3]PT'!$D$2:$D$725)</f>
        <v>2300</v>
      </c>
    </row>
    <row r="733" spans="1:4" ht="15" customHeight="1">
      <c r="A733" s="209" t="s">
        <v>775</v>
      </c>
      <c r="B733" s="206" t="s">
        <v>776</v>
      </c>
      <c r="C733" s="209" t="s">
        <v>1948</v>
      </c>
      <c r="D733" s="277">
        <f>LOOKUP(A733,'[3]PT'!$A$2:$A$725,'[3]PT'!$D$2:$D$725)</f>
        <v>2400</v>
      </c>
    </row>
    <row r="734" spans="1:4" ht="15" customHeight="1">
      <c r="A734" s="209" t="s">
        <v>777</v>
      </c>
      <c r="B734" s="206" t="s">
        <v>778</v>
      </c>
      <c r="C734" s="209" t="s">
        <v>1948</v>
      </c>
      <c r="D734" s="277">
        <f>LOOKUP(A734,'[3]PT'!$A$2:$A$725,'[3]PT'!$D$2:$D$725)</f>
        <v>2000</v>
      </c>
    </row>
    <row r="735" spans="1:17" ht="15" customHeight="1">
      <c r="A735" s="209"/>
      <c r="B735" s="206"/>
      <c r="C735" s="209"/>
      <c r="D735" s="277"/>
      <c r="Q735" s="408" t="s">
        <v>2029</v>
      </c>
    </row>
    <row r="736" spans="1:4" ht="15" customHeight="1">
      <c r="A736" s="209" t="s">
        <v>779</v>
      </c>
      <c r="B736" s="206" t="s">
        <v>780</v>
      </c>
      <c r="C736" s="209" t="s">
        <v>1966</v>
      </c>
      <c r="D736" s="277">
        <f>LOOKUP(A736,'[3]PT'!$A$2:$A$725,'[3]PT'!$D$2:$D$725)</f>
        <v>10.24</v>
      </c>
    </row>
    <row r="737" spans="1:4" ht="15" customHeight="1">
      <c r="A737" s="209" t="s">
        <v>781</v>
      </c>
      <c r="B737" s="206" t="s">
        <v>782</v>
      </c>
      <c r="C737" s="209" t="s">
        <v>1966</v>
      </c>
      <c r="D737" s="277">
        <f>LOOKUP(A737,'[3]PT'!$A$2:$A$725,'[3]PT'!$D$2:$D$725)</f>
        <v>10.24</v>
      </c>
    </row>
    <row r="738" spans="1:17" ht="15" customHeight="1">
      <c r="A738" s="209"/>
      <c r="B738" s="206"/>
      <c r="C738" s="209"/>
      <c r="D738" s="277"/>
      <c r="Q738" s="408" t="s">
        <v>2029</v>
      </c>
    </row>
    <row r="739" spans="1:4" ht="15" customHeight="1">
      <c r="A739" s="209" t="s">
        <v>783</v>
      </c>
      <c r="B739" s="206" t="s">
        <v>784</v>
      </c>
      <c r="C739" s="209" t="s">
        <v>1966</v>
      </c>
      <c r="D739" s="277">
        <f>LOOKUP(A739,'[3]PT'!$A$2:$A$725,'[3]PT'!$D$2:$D$725)</f>
        <v>35.1</v>
      </c>
    </row>
    <row r="740" spans="1:4" ht="15" customHeight="1">
      <c r="A740" s="209" t="s">
        <v>785</v>
      </c>
      <c r="B740" s="206" t="s">
        <v>786</v>
      </c>
      <c r="C740" s="209" t="s">
        <v>178</v>
      </c>
      <c r="D740" s="277">
        <f>LOOKUP(A740,'[3]PT'!$A$2:$A$725,'[3]PT'!$D$2:$D$725)</f>
        <v>56.65</v>
      </c>
    </row>
    <row r="741" spans="1:4" ht="15" customHeight="1">
      <c r="A741" s="209" t="s">
        <v>787</v>
      </c>
      <c r="B741" s="206" t="s">
        <v>788</v>
      </c>
      <c r="C741" s="209" t="s">
        <v>178</v>
      </c>
      <c r="D741" s="277">
        <f>LOOKUP(A741,'[3]PT'!$A$2:$A$725,'[3]PT'!$D$2:$D$725)</f>
        <v>10.39</v>
      </c>
    </row>
    <row r="742" spans="1:4" ht="15" customHeight="1">
      <c r="A742" s="209" t="s">
        <v>789</v>
      </c>
      <c r="B742" s="206" t="s">
        <v>790</v>
      </c>
      <c r="C742" s="209" t="s">
        <v>178</v>
      </c>
      <c r="D742" s="277">
        <f>LOOKUP(A742,'[3]PT'!$A$2:$A$725,'[3]PT'!$D$2:$D$725)</f>
        <v>575.21</v>
      </c>
    </row>
    <row r="743" spans="1:4" ht="15" customHeight="1">
      <c r="A743" s="209" t="s">
        <v>791</v>
      </c>
      <c r="B743" s="206" t="s">
        <v>792</v>
      </c>
      <c r="C743" s="209" t="s">
        <v>178</v>
      </c>
      <c r="D743" s="277">
        <f>LOOKUP(A743,'[3]PT'!$A$2:$A$725,'[3]PT'!$D$2:$D$725)</f>
        <v>363.64</v>
      </c>
    </row>
    <row r="744" spans="1:4" ht="15" customHeight="1">
      <c r="A744" s="209" t="s">
        <v>793</v>
      </c>
      <c r="B744" s="206" t="s">
        <v>1043</v>
      </c>
      <c r="C744" s="209" t="s">
        <v>178</v>
      </c>
      <c r="D744" s="277">
        <f>LOOKUP(A744,'[3]PT'!$A$2:$A$725,'[3]PT'!$D$2:$D$725)</f>
        <v>35.2676</v>
      </c>
    </row>
    <row r="745" spans="1:4" ht="15" customHeight="1">
      <c r="A745" s="209" t="s">
        <v>794</v>
      </c>
      <c r="B745" s="206" t="s">
        <v>795</v>
      </c>
      <c r="C745" s="209" t="s">
        <v>1810</v>
      </c>
      <c r="D745" s="277">
        <f>LOOKUP(A745,'[3]PT'!$A$2:$A$725,'[3]PT'!$D$2:$D$725)</f>
        <v>2.98</v>
      </c>
    </row>
    <row r="746" spans="1:17" ht="15" customHeight="1">
      <c r="A746" s="209"/>
      <c r="B746" s="206"/>
      <c r="C746" s="209"/>
      <c r="D746" s="277"/>
      <c r="Q746" s="408" t="s">
        <v>2029</v>
      </c>
    </row>
    <row r="747" spans="1:4" ht="15" customHeight="1">
      <c r="A747" s="209" t="s">
        <v>796</v>
      </c>
      <c r="B747" s="206" t="s">
        <v>797</v>
      </c>
      <c r="C747" s="209" t="s">
        <v>178</v>
      </c>
      <c r="D747" s="277">
        <f>LOOKUP(A747,'[3]PT'!$A$2:$A$725,'[3]PT'!$D$2:$D$725)</f>
        <v>20073.92</v>
      </c>
    </row>
    <row r="748" spans="1:4" ht="15" customHeight="1">
      <c r="A748" s="209" t="s">
        <v>798</v>
      </c>
      <c r="B748" s="206" t="s">
        <v>799</v>
      </c>
      <c r="C748" s="209" t="s">
        <v>178</v>
      </c>
      <c r="D748" s="277">
        <f>LOOKUP(A748,'[3]PT'!$A$2:$A$725,'[3]PT'!$D$2:$D$725)</f>
        <v>15002.48</v>
      </c>
    </row>
    <row r="749" spans="1:4" ht="15" customHeight="1">
      <c r="A749" s="209" t="s">
        <v>800</v>
      </c>
      <c r="B749" s="206" t="s">
        <v>801</v>
      </c>
      <c r="C749" s="209" t="s">
        <v>178</v>
      </c>
      <c r="D749" s="277">
        <f>LOOKUP(A749,'[3]PT'!$A$2:$A$725,'[3]PT'!$D$2:$D$725)</f>
        <v>21765.29</v>
      </c>
    </row>
    <row r="750" spans="1:4" ht="15" customHeight="1">
      <c r="A750" s="209" t="s">
        <v>802</v>
      </c>
      <c r="B750" s="206" t="s">
        <v>803</v>
      </c>
      <c r="C750" s="209" t="s">
        <v>178</v>
      </c>
      <c r="D750" s="277">
        <f>LOOKUP(A750,'[3]PT'!$A$2:$A$725,'[3]PT'!$D$2:$D$725)</f>
        <v>1581.6314</v>
      </c>
    </row>
    <row r="751" spans="1:4" ht="15" customHeight="1">
      <c r="A751" s="209" t="s">
        <v>804</v>
      </c>
      <c r="B751" s="206" t="s">
        <v>805</v>
      </c>
      <c r="C751" s="209" t="s">
        <v>348</v>
      </c>
      <c r="D751" s="277">
        <f>LOOKUP(A751,'[3]PT'!$A$2:$A$725,'[3]PT'!$D$2:$D$725)</f>
        <v>15.5133</v>
      </c>
    </row>
    <row r="752" spans="1:4" ht="15" customHeight="1">
      <c r="A752" s="209" t="s">
        <v>806</v>
      </c>
      <c r="B752" s="206" t="s">
        <v>807</v>
      </c>
      <c r="C752" s="209" t="s">
        <v>348</v>
      </c>
      <c r="D752" s="277">
        <f>LOOKUP(A752,'[3]PT'!$A$2:$A$725,'[3]PT'!$D$2:$D$725)</f>
        <v>84.9067</v>
      </c>
    </row>
    <row r="753" spans="1:4" ht="15" customHeight="1">
      <c r="A753" s="209" t="s">
        <v>808</v>
      </c>
      <c r="B753" s="206" t="s">
        <v>809</v>
      </c>
      <c r="C753" s="209" t="s">
        <v>348</v>
      </c>
      <c r="D753" s="277">
        <f>LOOKUP(A753,'[3]PT'!$A$2:$A$725,'[3]PT'!$D$2:$D$725)</f>
        <v>62.9567</v>
      </c>
    </row>
    <row r="754" spans="1:4" ht="15" customHeight="1">
      <c r="A754" s="209" t="s">
        <v>810</v>
      </c>
      <c r="B754" s="206" t="s">
        <v>811</v>
      </c>
      <c r="C754" s="209" t="s">
        <v>178</v>
      </c>
      <c r="D754" s="277">
        <f>LOOKUP(A754,'[3]PT'!$A$2:$A$725,'[3]PT'!$D$2:$D$725)</f>
        <v>310.525</v>
      </c>
    </row>
    <row r="755" spans="1:4" ht="15" customHeight="1">
      <c r="A755" s="209" t="s">
        <v>812</v>
      </c>
      <c r="B755" s="206" t="s">
        <v>813</v>
      </c>
      <c r="C755" s="209" t="s">
        <v>348</v>
      </c>
      <c r="D755" s="277">
        <f>LOOKUP(A755,'[3]PT'!$A$2:$A$725,'[3]PT'!$D$2:$D$725)</f>
        <v>175.8</v>
      </c>
    </row>
    <row r="756" spans="1:4" ht="15" customHeight="1">
      <c r="A756" s="209" t="s">
        <v>814</v>
      </c>
      <c r="B756" s="206" t="s">
        <v>815</v>
      </c>
      <c r="C756" s="209" t="s">
        <v>348</v>
      </c>
      <c r="D756" s="277">
        <f>LOOKUP(A756,'[3]PT'!$A$2:$A$725,'[3]PT'!$D$2:$D$725)</f>
        <v>46.77</v>
      </c>
    </row>
    <row r="757" spans="1:4" ht="15" customHeight="1">
      <c r="A757" s="209" t="s">
        <v>816</v>
      </c>
      <c r="B757" s="206" t="s">
        <v>817</v>
      </c>
      <c r="C757" s="209" t="s">
        <v>348</v>
      </c>
      <c r="D757" s="277">
        <f>LOOKUP(A757,'[3]PT'!$A$2:$A$725,'[3]PT'!$D$2:$D$725)</f>
        <v>64.72</v>
      </c>
    </row>
    <row r="758" spans="1:4" ht="15" customHeight="1">
      <c r="A758" s="209" t="s">
        <v>818</v>
      </c>
      <c r="B758" s="206" t="s">
        <v>819</v>
      </c>
      <c r="C758" s="209" t="s">
        <v>348</v>
      </c>
      <c r="D758" s="277">
        <f>LOOKUP(A758,'[3]PT'!$A$2:$A$725,'[3]PT'!$D$2:$D$725)</f>
        <v>55.1085</v>
      </c>
    </row>
    <row r="759" spans="1:4" ht="15" customHeight="1">
      <c r="A759" s="209" t="s">
        <v>820</v>
      </c>
      <c r="B759" s="206" t="s">
        <v>821</v>
      </c>
      <c r="C759" s="209" t="s">
        <v>178</v>
      </c>
      <c r="D759" s="277">
        <f>LOOKUP(A759,'[3]PT'!$A$2:$A$725,'[3]PT'!$D$2:$D$725)</f>
        <v>14.5139</v>
      </c>
    </row>
    <row r="760" spans="1:4" ht="15" customHeight="1">
      <c r="A760" s="209" t="s">
        <v>822</v>
      </c>
      <c r="B760" s="206" t="s">
        <v>823</v>
      </c>
      <c r="C760" s="209" t="s">
        <v>178</v>
      </c>
      <c r="D760" s="277">
        <f>LOOKUP(A760,'[3]PT'!$A$2:$A$725,'[3]PT'!$D$2:$D$725)</f>
        <v>39.47</v>
      </c>
    </row>
    <row r="761" spans="1:4" ht="15" customHeight="1">
      <c r="A761" s="209" t="s">
        <v>824</v>
      </c>
      <c r="B761" s="206" t="s">
        <v>825</v>
      </c>
      <c r="C761" s="209" t="s">
        <v>178</v>
      </c>
      <c r="D761" s="277">
        <f>LOOKUP(A761,'[3]PT'!$A$2:$A$725,'[3]PT'!$D$2:$D$725)</f>
        <v>46.95</v>
      </c>
    </row>
    <row r="762" spans="1:4" ht="15" customHeight="1">
      <c r="A762" s="209" t="s">
        <v>826</v>
      </c>
      <c r="B762" s="206" t="s">
        <v>827</v>
      </c>
      <c r="C762" s="209" t="s">
        <v>178</v>
      </c>
      <c r="D762" s="277">
        <f>LOOKUP(A762,'[3]PT'!$A$2:$A$725,'[3]PT'!$D$2:$D$725)</f>
        <v>42.17</v>
      </c>
    </row>
    <row r="763" spans="1:4" ht="15" customHeight="1">
      <c r="A763" s="209" t="s">
        <v>828</v>
      </c>
      <c r="B763" s="206" t="s">
        <v>829</v>
      </c>
      <c r="C763" s="209" t="s">
        <v>178</v>
      </c>
      <c r="D763" s="277">
        <f>LOOKUP(A763,'[3]PT'!$A$2:$A$725,'[3]PT'!$D$2:$D$725)</f>
        <v>24.8523</v>
      </c>
    </row>
    <row r="764" spans="1:4" ht="15" customHeight="1">
      <c r="A764" s="209" t="s">
        <v>830</v>
      </c>
      <c r="B764" s="206" t="s">
        <v>831</v>
      </c>
      <c r="C764" s="209" t="s">
        <v>348</v>
      </c>
      <c r="D764" s="277">
        <f>LOOKUP(A764,'[3]PT'!$A$2:$A$725,'[3]PT'!$D$2:$D$725)</f>
        <v>60.7991</v>
      </c>
    </row>
    <row r="765" spans="1:4" ht="15" customHeight="1">
      <c r="A765" s="209" t="s">
        <v>832</v>
      </c>
      <c r="B765" s="206" t="s">
        <v>833</v>
      </c>
      <c r="C765" s="209" t="s">
        <v>178</v>
      </c>
      <c r="D765" s="277">
        <f>LOOKUP(A765,'[3]PT'!$A$2:$A$725,'[3]PT'!$D$2:$D$725)</f>
        <v>583.2133</v>
      </c>
    </row>
    <row r="766" spans="1:4" ht="15" customHeight="1">
      <c r="A766" s="213" t="s">
        <v>834</v>
      </c>
      <c r="B766" s="254" t="s">
        <v>835</v>
      </c>
      <c r="C766" s="127" t="s">
        <v>178</v>
      </c>
      <c r="D766" s="277">
        <f>LOOKUP(A766,'[3]PT'!$A$2:$A$725,'[3]PT'!$D$2:$D$725)</f>
        <v>303.0833</v>
      </c>
    </row>
    <row r="767" spans="1:4" ht="15" customHeight="1">
      <c r="A767" s="213" t="s">
        <v>836</v>
      </c>
      <c r="B767" s="254" t="s">
        <v>837</v>
      </c>
      <c r="C767" s="127" t="s">
        <v>178</v>
      </c>
      <c r="D767" s="277">
        <f>LOOKUP(A767,'[3]PT'!$A$2:$A$725,'[3]PT'!$D$2:$D$725)</f>
        <v>251.7267</v>
      </c>
    </row>
    <row r="768" spans="1:4" ht="15" customHeight="1">
      <c r="A768" s="213" t="s">
        <v>838</v>
      </c>
      <c r="B768" s="254" t="s">
        <v>839</v>
      </c>
      <c r="C768" s="127" t="s">
        <v>178</v>
      </c>
      <c r="D768" s="277">
        <f>LOOKUP(A768,'[3]PT'!$A$2:$A$725,'[3]PT'!$D$2:$D$725)</f>
        <v>228.2442</v>
      </c>
    </row>
    <row r="769" spans="1:4" ht="15" customHeight="1">
      <c r="A769" s="213" t="s">
        <v>840</v>
      </c>
      <c r="B769" s="254" t="s">
        <v>841</v>
      </c>
      <c r="C769" s="127" t="s">
        <v>178</v>
      </c>
      <c r="D769" s="277">
        <f>LOOKUP(A769,'[3]PT'!$A$2:$A$725,'[3]PT'!$D$2:$D$725)</f>
        <v>825.55</v>
      </c>
    </row>
    <row r="770" spans="1:4" ht="15" customHeight="1">
      <c r="A770" s="213" t="s">
        <v>842</v>
      </c>
      <c r="B770" s="254" t="s">
        <v>843</v>
      </c>
      <c r="C770" s="127" t="s">
        <v>178</v>
      </c>
      <c r="D770" s="277">
        <f>LOOKUP(A770,'[3]PT'!$A$2:$A$725,'[3]PT'!$D$2:$D$725)</f>
        <v>1033.06</v>
      </c>
    </row>
    <row r="771" spans="1:4" ht="15" customHeight="1">
      <c r="A771" s="213" t="s">
        <v>844</v>
      </c>
      <c r="B771" s="254" t="s">
        <v>845</v>
      </c>
      <c r="C771" s="127" t="s">
        <v>178</v>
      </c>
      <c r="D771" s="277">
        <f>LOOKUP(A771,'[3]PT'!$A$2:$A$725,'[3]PT'!$D$2:$D$725)</f>
        <v>1462.81</v>
      </c>
    </row>
    <row r="772" spans="1:4" ht="15" customHeight="1">
      <c r="A772" s="213" t="s">
        <v>846</v>
      </c>
      <c r="B772" s="254" t="s">
        <v>847</v>
      </c>
      <c r="C772" s="127" t="s">
        <v>1810</v>
      </c>
      <c r="D772" s="277">
        <f>LOOKUP(A772,'[3]PT'!$A$2:$A$725,'[3]PT'!$D$2:$D$725)</f>
        <v>63.6326</v>
      </c>
    </row>
    <row r="773" spans="1:4" ht="15" customHeight="1">
      <c r="A773" s="213" t="s">
        <v>848</v>
      </c>
      <c r="B773" s="254" t="s">
        <v>849</v>
      </c>
      <c r="C773" s="127" t="s">
        <v>1810</v>
      </c>
      <c r="D773" s="277">
        <f>LOOKUP(A773,'[3]PT'!$A$2:$A$725,'[3]PT'!$D$2:$D$725)</f>
        <v>93.2624</v>
      </c>
    </row>
    <row r="774" spans="1:4" ht="15" customHeight="1">
      <c r="A774" s="213" t="s">
        <v>850</v>
      </c>
      <c r="B774" s="254" t="s">
        <v>851</v>
      </c>
      <c r="C774" s="127" t="s">
        <v>1810</v>
      </c>
      <c r="D774" s="277">
        <v>91.59</v>
      </c>
    </row>
    <row r="775" spans="1:4" ht="15" customHeight="1">
      <c r="A775" s="213" t="s">
        <v>852</v>
      </c>
      <c r="B775" s="254" t="s">
        <v>853</v>
      </c>
      <c r="C775" s="127" t="s">
        <v>1810</v>
      </c>
      <c r="D775" s="277">
        <f>LOOKUP(A775,'[3]PT'!$A$2:$A$725,'[3]PT'!$D$2:$D$725)</f>
        <v>130.8571</v>
      </c>
    </row>
    <row r="776" spans="1:4" ht="15" customHeight="1">
      <c r="A776" s="213" t="s">
        <v>854</v>
      </c>
      <c r="B776" s="254" t="s">
        <v>855</v>
      </c>
      <c r="C776" s="127" t="s">
        <v>178</v>
      </c>
      <c r="D776" s="277">
        <f>LOOKUP(A776,'[3]PT'!$A$2:$A$725,'[3]PT'!$D$2:$D$725)</f>
        <v>130.3511</v>
      </c>
    </row>
    <row r="777" spans="1:4" ht="15" customHeight="1">
      <c r="A777" s="213" t="s">
        <v>856</v>
      </c>
      <c r="B777" s="254" t="s">
        <v>857</v>
      </c>
      <c r="C777" s="127" t="s">
        <v>1810</v>
      </c>
      <c r="D777" s="277">
        <f>LOOKUP(A777,'[3]PT'!$A$2:$A$725,'[3]PT'!$D$2:$D$725)</f>
        <v>318.26</v>
      </c>
    </row>
    <row r="778" spans="1:4" ht="15" customHeight="1">
      <c r="A778" s="213" t="s">
        <v>858</v>
      </c>
      <c r="B778" s="254" t="s">
        <v>859</v>
      </c>
      <c r="C778" s="127" t="s">
        <v>1810</v>
      </c>
      <c r="D778" s="277">
        <f>LOOKUP(A778,'[3]PT'!$A$2:$A$725,'[3]PT'!$D$2:$D$725)</f>
        <v>367.14</v>
      </c>
    </row>
    <row r="779" spans="1:4" ht="15" customHeight="1">
      <c r="A779" s="213" t="s">
        <v>860</v>
      </c>
      <c r="B779" s="254" t="s">
        <v>861</v>
      </c>
      <c r="C779" s="127" t="s">
        <v>1810</v>
      </c>
      <c r="D779" s="277">
        <f>LOOKUP(A779,'[3]PT'!$A$2:$A$725,'[3]PT'!$D$2:$D$725)</f>
        <v>585.17</v>
      </c>
    </row>
    <row r="780" spans="1:4" ht="15" customHeight="1">
      <c r="A780" s="213" t="s">
        <v>862</v>
      </c>
      <c r="B780" s="254" t="s">
        <v>863</v>
      </c>
      <c r="C780" s="127" t="s">
        <v>1810</v>
      </c>
      <c r="D780" s="277">
        <f>LOOKUP(A780,'[3]PT'!$A$2:$A$725,'[3]PT'!$D$2:$D$725)</f>
        <v>718.13</v>
      </c>
    </row>
    <row r="781" spans="1:4" ht="15" customHeight="1">
      <c r="A781" s="213" t="s">
        <v>864</v>
      </c>
      <c r="B781" s="254" t="s">
        <v>865</v>
      </c>
      <c r="C781" s="127" t="s">
        <v>1810</v>
      </c>
      <c r="D781" s="277">
        <f>LOOKUP(A781,'[3]PT'!$A$2:$A$725,'[3]PT'!$D$2:$D$725)</f>
        <v>885.65</v>
      </c>
    </row>
    <row r="782" spans="1:4" ht="15" customHeight="1">
      <c r="A782" s="209" t="s">
        <v>866</v>
      </c>
      <c r="B782" s="206" t="s">
        <v>867</v>
      </c>
      <c r="C782" s="209" t="s">
        <v>1810</v>
      </c>
      <c r="D782" s="277">
        <f>LOOKUP(A782,'[3]PT'!$A$2:$A$725,'[3]PT'!$D$2:$D$725)</f>
        <v>1274.58</v>
      </c>
    </row>
    <row r="783" spans="1:4" ht="15" customHeight="1">
      <c r="A783" s="209" t="s">
        <v>868</v>
      </c>
      <c r="B783" s="206" t="s">
        <v>308</v>
      </c>
      <c r="C783" s="209" t="s">
        <v>178</v>
      </c>
      <c r="D783" s="277">
        <f>LOOKUP(A783,'[3]PT'!$A$2:$A$725,'[3]PT'!$D$2:$D$725)</f>
        <v>305</v>
      </c>
    </row>
    <row r="784" spans="1:4" ht="15" customHeight="1">
      <c r="A784" s="209" t="s">
        <v>869</v>
      </c>
      <c r="B784" s="206" t="s">
        <v>870</v>
      </c>
      <c r="C784" s="209" t="s">
        <v>178</v>
      </c>
      <c r="D784" s="277">
        <f>LOOKUP(A784,'[3]PT'!$A$2:$A$725,'[3]PT'!$D$2:$D$725)</f>
        <v>186</v>
      </c>
    </row>
    <row r="785" spans="1:4" ht="15" customHeight="1">
      <c r="A785" s="209" t="s">
        <v>871</v>
      </c>
      <c r="B785" s="206" t="s">
        <v>282</v>
      </c>
      <c r="C785" s="209" t="s">
        <v>178</v>
      </c>
      <c r="D785" s="277">
        <f>LOOKUP(A785,'[3]PT'!$A$2:$A$725,'[3]PT'!$D$2:$D$725)</f>
        <v>633.7462</v>
      </c>
    </row>
    <row r="786" spans="1:4" ht="15" customHeight="1">
      <c r="A786" s="209" t="s">
        <v>872</v>
      </c>
      <c r="B786" s="206" t="s">
        <v>283</v>
      </c>
      <c r="C786" s="209" t="s">
        <v>1810</v>
      </c>
      <c r="D786" s="277">
        <f>LOOKUP(A786,'[3]PT'!$A$2:$A$725,'[3]PT'!$D$2:$D$725)</f>
        <v>93.015</v>
      </c>
    </row>
    <row r="787" spans="1:4" ht="15" customHeight="1">
      <c r="A787" s="209" t="s">
        <v>873</v>
      </c>
      <c r="B787" s="206" t="s">
        <v>293</v>
      </c>
      <c r="C787" s="209" t="s">
        <v>1810</v>
      </c>
      <c r="D787" s="277">
        <f>LOOKUP(A787,'[3]PT'!$A$2:$A$725,'[3]PT'!$D$2:$D$725)</f>
        <v>28.815</v>
      </c>
    </row>
    <row r="788" spans="1:4" ht="15" customHeight="1">
      <c r="A788" s="209" t="s">
        <v>874</v>
      </c>
      <c r="B788" s="206" t="s">
        <v>307</v>
      </c>
      <c r="C788" s="209" t="s">
        <v>1810</v>
      </c>
      <c r="D788" s="277">
        <f>LOOKUP(A788,'[3]PT'!$A$2:$A$725,'[3]PT'!$D$2:$D$725)</f>
        <v>15.26</v>
      </c>
    </row>
    <row r="789" spans="1:4" ht="15" customHeight="1">
      <c r="A789" s="209" t="s">
        <v>875</v>
      </c>
      <c r="B789" s="206" t="s">
        <v>322</v>
      </c>
      <c r="C789" s="209" t="s">
        <v>1810</v>
      </c>
      <c r="D789" s="277">
        <f>LOOKUP(A789,'[3]PT'!$A$2:$A$725,'[3]PT'!$D$2:$D$725)</f>
        <v>90.5526</v>
      </c>
    </row>
    <row r="790" spans="1:4" ht="15" customHeight="1">
      <c r="A790" s="209" t="s">
        <v>876</v>
      </c>
      <c r="B790" s="206" t="s">
        <v>309</v>
      </c>
      <c r="C790" s="209" t="s">
        <v>1810</v>
      </c>
      <c r="D790" s="277">
        <f>LOOKUP(A790,'[3]PT'!$A$2:$A$725,'[3]PT'!$D$2:$D$725)</f>
        <v>60.7104</v>
      </c>
    </row>
    <row r="791" spans="1:4" ht="15" customHeight="1">
      <c r="A791" s="209" t="s">
        <v>877</v>
      </c>
      <c r="B791" s="206" t="s">
        <v>294</v>
      </c>
      <c r="C791" s="209" t="s">
        <v>178</v>
      </c>
      <c r="D791" s="277">
        <f>LOOKUP(A791,'[3]PT'!$A$2:$A$725,'[3]PT'!$D$2:$D$725)</f>
        <v>72.1572</v>
      </c>
    </row>
    <row r="792" spans="1:4" ht="15" customHeight="1">
      <c r="A792" s="209" t="s">
        <v>878</v>
      </c>
      <c r="B792" s="206" t="s">
        <v>310</v>
      </c>
      <c r="C792" s="209" t="s">
        <v>178</v>
      </c>
      <c r="D792" s="277">
        <f>LOOKUP(A792,'[3]PT'!$A$2:$A$725,'[3]PT'!$D$2:$D$725)</f>
        <v>172.81</v>
      </c>
    </row>
    <row r="793" spans="1:4" ht="15" customHeight="1">
      <c r="A793" s="209" t="s">
        <v>879</v>
      </c>
      <c r="B793" s="206" t="s">
        <v>288</v>
      </c>
      <c r="C793" s="209" t="s">
        <v>178</v>
      </c>
      <c r="D793" s="277">
        <f>LOOKUP(A793,'[3]PT'!$A$2:$A$725,'[3]PT'!$D$2:$D$725)</f>
        <v>1013.516</v>
      </c>
    </row>
    <row r="794" spans="1:4" ht="15" customHeight="1">
      <c r="A794" s="209" t="s">
        <v>880</v>
      </c>
      <c r="B794" s="206" t="s">
        <v>311</v>
      </c>
      <c r="C794" s="209" t="s">
        <v>178</v>
      </c>
      <c r="D794" s="277">
        <f>LOOKUP(A794,'[3]PT'!$A$2:$A$725,'[3]PT'!$D$2:$D$725)</f>
        <v>159.04</v>
      </c>
    </row>
    <row r="795" spans="1:4" ht="15" customHeight="1">
      <c r="A795" s="209" t="s">
        <v>881</v>
      </c>
      <c r="B795" s="206" t="s">
        <v>312</v>
      </c>
      <c r="C795" s="209" t="s">
        <v>178</v>
      </c>
      <c r="D795" s="277">
        <f>LOOKUP(A795,'[3]PT'!$A$2:$A$725,'[3]PT'!$D$2:$D$725)</f>
        <v>2051.86</v>
      </c>
    </row>
    <row r="796" spans="1:4" ht="15" customHeight="1">
      <c r="A796" s="209" t="s">
        <v>882</v>
      </c>
      <c r="B796" s="206" t="s">
        <v>883</v>
      </c>
      <c r="C796" s="209" t="s">
        <v>178</v>
      </c>
      <c r="D796" s="277">
        <f>LOOKUP(A796,'[3]PT'!$A$2:$A$725,'[3]PT'!$D$2:$D$725)</f>
        <v>1890.2732</v>
      </c>
    </row>
    <row r="797" spans="1:4" ht="15" customHeight="1">
      <c r="A797" s="209" t="s">
        <v>884</v>
      </c>
      <c r="B797" s="206" t="s">
        <v>291</v>
      </c>
      <c r="C797" s="209" t="s">
        <v>178</v>
      </c>
      <c r="D797" s="277">
        <f>LOOKUP(A797,'[3]PT'!$A$2:$A$725,'[3]PT'!$D$2:$D$725)</f>
        <v>658.62</v>
      </c>
    </row>
    <row r="798" spans="1:4" ht="15" customHeight="1">
      <c r="A798" s="209" t="s">
        <v>885</v>
      </c>
      <c r="B798" s="206" t="s">
        <v>292</v>
      </c>
      <c r="C798" s="209" t="s">
        <v>178</v>
      </c>
      <c r="D798" s="277">
        <f>LOOKUP(A798,'[3]PT'!$A$2:$A$725,'[3]PT'!$D$2:$D$725)</f>
        <v>1270.4863</v>
      </c>
    </row>
    <row r="799" spans="1:4" ht="15" customHeight="1">
      <c r="A799" s="209" t="s">
        <v>304</v>
      </c>
      <c r="B799" s="206" t="s">
        <v>320</v>
      </c>
      <c r="C799" s="209" t="s">
        <v>347</v>
      </c>
      <c r="D799" s="277">
        <f>LOOKUP(A799,'[3]PT'!$A$2:$A$725,'[3]PT'!$D$2:$D$725)</f>
        <v>14.8466</v>
      </c>
    </row>
    <row r="800" spans="1:4" ht="15" customHeight="1">
      <c r="A800" s="209" t="s">
        <v>886</v>
      </c>
      <c r="B800" s="206" t="s">
        <v>887</v>
      </c>
      <c r="C800" s="209" t="s">
        <v>178</v>
      </c>
      <c r="D800" s="277">
        <f>LOOKUP(A800,'[3]PT'!$A$2:$A$725,'[3]PT'!$D$2:$D$725)</f>
        <v>99.54</v>
      </c>
    </row>
    <row r="801" spans="1:4" ht="15" customHeight="1">
      <c r="A801" s="209" t="s">
        <v>1317</v>
      </c>
      <c r="B801" s="206" t="s">
        <v>888</v>
      </c>
      <c r="C801" s="209" t="s">
        <v>178</v>
      </c>
      <c r="D801" s="277">
        <f>LOOKUP(A801,'[3]PT'!$A$2:$A$725,'[3]PT'!$D$2:$D$725)</f>
        <v>161</v>
      </c>
    </row>
    <row r="802" spans="1:4" ht="15" customHeight="1">
      <c r="A802" s="209" t="s">
        <v>1116</v>
      </c>
      <c r="B802" s="206" t="s">
        <v>889</v>
      </c>
      <c r="C802" s="209" t="s">
        <v>178</v>
      </c>
      <c r="D802" s="277">
        <f>LOOKUP(A802,'[3]PT'!$A$2:$A$725,'[3]PT'!$D$2:$D$725)</f>
        <v>119.83</v>
      </c>
    </row>
    <row r="803" spans="1:4" ht="15" customHeight="1">
      <c r="A803" s="209" t="s">
        <v>1137</v>
      </c>
      <c r="B803" s="206" t="s">
        <v>890</v>
      </c>
      <c r="C803" s="209" t="s">
        <v>347</v>
      </c>
      <c r="D803" s="277">
        <f>LOOKUP(A803,'[3]PT'!$A$2:$A$725,'[3]PT'!$D$2:$D$725)</f>
        <v>102152.38</v>
      </c>
    </row>
    <row r="804" spans="1:4" ht="15" customHeight="1">
      <c r="A804" s="209" t="s">
        <v>1141</v>
      </c>
      <c r="B804" s="206" t="s">
        <v>891</v>
      </c>
      <c r="C804" s="209" t="s">
        <v>1984</v>
      </c>
      <c r="D804" s="277">
        <f>LOOKUP(A804,'[3]PT'!$A$2:$A$725,'[3]PT'!$D$2:$D$725)</f>
        <v>258.8497</v>
      </c>
    </row>
    <row r="805" spans="1:4" ht="15" customHeight="1">
      <c r="A805" s="209" t="s">
        <v>892</v>
      </c>
      <c r="B805" s="206" t="s">
        <v>893</v>
      </c>
      <c r="C805" s="209" t="s">
        <v>178</v>
      </c>
      <c r="D805" s="277">
        <f>LOOKUP(A805,'[3]PT'!$A$2:$A$725,'[3]PT'!$D$2:$D$725)</f>
        <v>22.093</v>
      </c>
    </row>
    <row r="806" spans="1:4" ht="15" customHeight="1">
      <c r="A806" s="209" t="s">
        <v>894</v>
      </c>
      <c r="B806" s="206" t="s">
        <v>895</v>
      </c>
      <c r="C806" s="209" t="s">
        <v>178</v>
      </c>
      <c r="D806" s="277">
        <f>LOOKUP(A806,'[3]PT'!$A$2:$A$725,'[3]PT'!$D$2:$D$725)</f>
        <v>25.0856</v>
      </c>
    </row>
    <row r="807" spans="1:4" ht="15" customHeight="1">
      <c r="A807" s="209" t="s">
        <v>896</v>
      </c>
      <c r="B807" s="206" t="s">
        <v>897</v>
      </c>
      <c r="C807" s="209" t="s">
        <v>178</v>
      </c>
      <c r="D807" s="277">
        <f>LOOKUP(A807,'[3]PT'!$A$2:$A$725,'[3]PT'!$D$2:$D$725)</f>
        <v>50.7076</v>
      </c>
    </row>
    <row r="808" spans="1:4" ht="15" customHeight="1">
      <c r="A808" s="209" t="s">
        <v>898</v>
      </c>
      <c r="B808" s="206" t="s">
        <v>899</v>
      </c>
      <c r="C808" s="209" t="s">
        <v>178</v>
      </c>
      <c r="D808" s="277">
        <f>LOOKUP(A808,'[3]PT'!$A$2:$A$725,'[3]PT'!$D$2:$D$725)</f>
        <v>52.2159</v>
      </c>
    </row>
    <row r="809" spans="1:4" ht="15" customHeight="1">
      <c r="A809" s="209" t="s">
        <v>900</v>
      </c>
      <c r="B809" s="206" t="s">
        <v>901</v>
      </c>
      <c r="C809" s="209" t="s">
        <v>178</v>
      </c>
      <c r="D809" s="277">
        <f>LOOKUP(A809,'[3]PT'!$A$2:$A$725,'[3]PT'!$D$2:$D$725)</f>
        <v>12.313</v>
      </c>
    </row>
    <row r="810" spans="1:4" ht="15" customHeight="1">
      <c r="A810" s="209" t="s">
        <v>902</v>
      </c>
      <c r="B810" s="206" t="s">
        <v>903</v>
      </c>
      <c r="C810" s="209" t="s">
        <v>178</v>
      </c>
      <c r="D810" s="277">
        <f>LOOKUP(A810,'[3]PT'!$A$2:$A$725,'[3]PT'!$D$2:$D$725)</f>
        <v>12.2441</v>
      </c>
    </row>
    <row r="811" spans="1:4" ht="15" customHeight="1">
      <c r="A811" s="209" t="s">
        <v>904</v>
      </c>
      <c r="B811" s="206" t="s">
        <v>905</v>
      </c>
      <c r="C811" s="209" t="s">
        <v>178</v>
      </c>
      <c r="D811" s="277">
        <f>LOOKUP(A811,'[3]PT'!$A$2:$A$725,'[3]PT'!$D$2:$D$725)</f>
        <v>7.6726</v>
      </c>
    </row>
    <row r="812" spans="1:4" ht="15" customHeight="1">
      <c r="A812" s="209" t="s">
        <v>906</v>
      </c>
      <c r="B812" s="206" t="s">
        <v>907</v>
      </c>
      <c r="C812" s="209" t="s">
        <v>178</v>
      </c>
      <c r="D812" s="277">
        <f>LOOKUP(A812,'[3]PT'!$A$2:$A$725,'[3]PT'!$D$2:$D$725)</f>
        <v>9.4353</v>
      </c>
    </row>
    <row r="813" spans="1:4" ht="15" customHeight="1">
      <c r="A813" s="209" t="s">
        <v>908</v>
      </c>
      <c r="B813" s="206" t="s">
        <v>909</v>
      </c>
      <c r="C813" s="209" t="s">
        <v>178</v>
      </c>
      <c r="D813" s="277">
        <f>LOOKUP(A813,'[3]PT'!$A$2:$A$725,'[3]PT'!$D$2:$D$725)</f>
        <v>12.6816</v>
      </c>
    </row>
    <row r="814" spans="1:4" ht="15" customHeight="1">
      <c r="A814" s="209" t="s">
        <v>910</v>
      </c>
      <c r="B814" s="206" t="s">
        <v>911</v>
      </c>
      <c r="C814" s="209" t="s">
        <v>178</v>
      </c>
      <c r="D814" s="277">
        <f>LOOKUP(A814,'[3]PT'!$A$2:$A$725,'[3]PT'!$D$2:$D$725)</f>
        <v>17.6086</v>
      </c>
    </row>
    <row r="815" spans="1:4" ht="15" customHeight="1">
      <c r="A815" s="209" t="s">
        <v>912</v>
      </c>
      <c r="B815" s="206" t="s">
        <v>913</v>
      </c>
      <c r="C815" s="209" t="s">
        <v>178</v>
      </c>
      <c r="D815" s="277">
        <f>LOOKUP(A815,'[3]PT'!$A$2:$A$725,'[3]PT'!$D$2:$D$725)</f>
        <v>40.4687</v>
      </c>
    </row>
    <row r="816" spans="1:4" ht="15" customHeight="1">
      <c r="A816" s="209" t="s">
        <v>914</v>
      </c>
      <c r="B816" s="206" t="s">
        <v>915</v>
      </c>
      <c r="C816" s="209" t="s">
        <v>178</v>
      </c>
      <c r="D816" s="277">
        <f>LOOKUP(A816,'[3]PT'!$A$2:$A$725,'[3]PT'!$D$2:$D$725)</f>
        <v>441.2925</v>
      </c>
    </row>
    <row r="817" spans="1:4" ht="15" customHeight="1">
      <c r="A817" s="209" t="s">
        <v>916</v>
      </c>
      <c r="B817" s="206" t="s">
        <v>917</v>
      </c>
      <c r="C817" s="209" t="s">
        <v>178</v>
      </c>
      <c r="D817" s="277">
        <f>LOOKUP(A817,'[3]PT'!$A$2:$A$725,'[3]PT'!$D$2:$D$725)</f>
        <v>131.6566</v>
      </c>
    </row>
    <row r="818" spans="1:4" ht="15" customHeight="1">
      <c r="A818" s="209" t="s">
        <v>918</v>
      </c>
      <c r="B818" s="206" t="s">
        <v>919</v>
      </c>
      <c r="C818" s="209" t="s">
        <v>178</v>
      </c>
      <c r="D818" s="277">
        <f>LOOKUP(A818,'[3]PT'!$A$2:$A$725,'[3]PT'!$D$2:$D$725)</f>
        <v>370.25</v>
      </c>
    </row>
    <row r="819" spans="1:4" ht="15" customHeight="1">
      <c r="A819" s="209" t="s">
        <v>920</v>
      </c>
      <c r="B819" s="206" t="s">
        <v>921</v>
      </c>
      <c r="C819" s="209" t="s">
        <v>178</v>
      </c>
      <c r="D819" s="277">
        <f>LOOKUP(A819,'[3]PT'!$A$2:$A$725,'[3]PT'!$D$2:$D$725)</f>
        <v>400.94</v>
      </c>
    </row>
    <row r="820" spans="1:4" ht="15" customHeight="1">
      <c r="A820" s="209" t="s">
        <v>922</v>
      </c>
      <c r="B820" s="206" t="s">
        <v>923</v>
      </c>
      <c r="C820" s="209" t="s">
        <v>178</v>
      </c>
      <c r="D820" s="277">
        <f>LOOKUP(A820,'[3]PT'!$A$2:$A$725,'[3]PT'!$D$2:$D$725)</f>
        <v>274.865</v>
      </c>
    </row>
    <row r="821" spans="1:4" ht="15" customHeight="1">
      <c r="A821" s="209" t="s">
        <v>924</v>
      </c>
      <c r="B821" s="206" t="s">
        <v>925</v>
      </c>
      <c r="C821" s="209" t="s">
        <v>178</v>
      </c>
      <c r="D821" s="277">
        <f>LOOKUP(A821,'[3]PT'!$A$2:$A$725,'[3]PT'!$D$2:$D$725)</f>
        <v>55.99</v>
      </c>
    </row>
    <row r="822" spans="1:4" ht="15" customHeight="1">
      <c r="A822" s="209" t="s">
        <v>926</v>
      </c>
      <c r="B822" s="206" t="s">
        <v>927</v>
      </c>
      <c r="C822" s="209" t="s">
        <v>178</v>
      </c>
      <c r="D822" s="277">
        <f>LOOKUP(A822,'[3]PT'!$A$2:$A$725,'[3]PT'!$D$2:$D$725)</f>
        <v>44.63</v>
      </c>
    </row>
    <row r="823" spans="1:4" ht="15" customHeight="1">
      <c r="A823" s="209" t="s">
        <v>928</v>
      </c>
      <c r="B823" s="206" t="s">
        <v>929</v>
      </c>
      <c r="C823" s="209" t="s">
        <v>178</v>
      </c>
      <c r="D823" s="277">
        <f>LOOKUP(A823,'[3]PT'!$A$2:$A$725,'[3]PT'!$D$2:$D$725)</f>
        <v>71.07</v>
      </c>
    </row>
    <row r="824" spans="1:4" ht="15" customHeight="1">
      <c r="A824" s="209" t="s">
        <v>930</v>
      </c>
      <c r="B824" s="206" t="s">
        <v>931</v>
      </c>
      <c r="C824" s="209" t="s">
        <v>178</v>
      </c>
      <c r="D824" s="277">
        <f>LOOKUP(A824,'[3]PT'!$A$2:$A$725,'[3]PT'!$D$2:$D$725)</f>
        <v>91.74</v>
      </c>
    </row>
    <row r="825" spans="1:4" ht="15" customHeight="1">
      <c r="A825" s="209" t="s">
        <v>932</v>
      </c>
      <c r="B825" s="206" t="s">
        <v>933</v>
      </c>
      <c r="C825" s="209" t="s">
        <v>178</v>
      </c>
      <c r="D825" s="277">
        <f>LOOKUP(A825,'[3]PT'!$A$2:$A$725,'[3]PT'!$D$2:$D$725)</f>
        <v>50.1604</v>
      </c>
    </row>
    <row r="826" spans="1:4" ht="15" customHeight="1">
      <c r="A826" s="209" t="s">
        <v>934</v>
      </c>
      <c r="B826" s="206" t="s">
        <v>935</v>
      </c>
      <c r="C826" s="209" t="s">
        <v>178</v>
      </c>
      <c r="D826" s="277">
        <f>LOOKUP(A826,'[3]PT'!$A$2:$A$725,'[3]PT'!$D$2:$D$725)</f>
        <v>18.3195</v>
      </c>
    </row>
    <row r="827" spans="1:4" ht="15" customHeight="1">
      <c r="A827" s="209" t="s">
        <v>936</v>
      </c>
      <c r="B827" s="206" t="s">
        <v>937</v>
      </c>
      <c r="C827" s="209" t="s">
        <v>178</v>
      </c>
      <c r="D827" s="277">
        <f>LOOKUP(A827,'[3]PT'!$A$2:$A$725,'[3]PT'!$D$2:$D$725)</f>
        <v>6.7355</v>
      </c>
    </row>
    <row r="828" spans="1:4" ht="15" customHeight="1">
      <c r="A828" s="209" t="s">
        <v>938</v>
      </c>
      <c r="B828" s="206" t="s">
        <v>939</v>
      </c>
      <c r="C828" s="209" t="s">
        <v>348</v>
      </c>
      <c r="D828" s="277">
        <f>LOOKUP(A828,'[3]PT'!$A$2:$A$725,'[3]PT'!$D$2:$D$725)</f>
        <v>84.5533</v>
      </c>
    </row>
    <row r="829" spans="1:4" ht="15" customHeight="1">
      <c r="A829" s="209" t="s">
        <v>940</v>
      </c>
      <c r="B829" s="206" t="s">
        <v>941</v>
      </c>
      <c r="C829" s="209" t="s">
        <v>1810</v>
      </c>
      <c r="D829" s="277">
        <f>LOOKUP(A829,'[3]PT'!$A$2:$A$725,'[3]PT'!$D$2:$D$725)</f>
        <v>5.5051</v>
      </c>
    </row>
    <row r="830" spans="1:4" ht="15" customHeight="1">
      <c r="A830" s="209" t="s">
        <v>942</v>
      </c>
      <c r="B830" s="206" t="s">
        <v>943</v>
      </c>
      <c r="C830" s="209" t="s">
        <v>1810</v>
      </c>
      <c r="D830" s="277">
        <f>LOOKUP(A830,'[3]PT'!$A$2:$A$725,'[3]PT'!$D$2:$D$725)</f>
        <v>9.1612</v>
      </c>
    </row>
    <row r="831" spans="1:4" ht="15" customHeight="1">
      <c r="A831" s="209" t="s">
        <v>944</v>
      </c>
      <c r="B831" s="206" t="s">
        <v>945</v>
      </c>
      <c r="C831" s="209" t="s">
        <v>1810</v>
      </c>
      <c r="D831" s="277">
        <f>LOOKUP(A831,'[3]PT'!$A$2:$A$725,'[3]PT'!$D$2:$D$725)</f>
        <v>12.5661</v>
      </c>
    </row>
    <row r="832" spans="1:4" ht="15" customHeight="1">
      <c r="A832" s="209" t="s">
        <v>946</v>
      </c>
      <c r="B832" s="206" t="s">
        <v>947</v>
      </c>
      <c r="C832" s="209" t="s">
        <v>1810</v>
      </c>
      <c r="D832" s="277">
        <f>LOOKUP(A832,'[3]PT'!$A$2:$A$725,'[3]PT'!$D$2:$D$725)</f>
        <v>41.1973</v>
      </c>
    </row>
    <row r="833" spans="1:4" ht="15" customHeight="1">
      <c r="A833" s="209" t="s">
        <v>948</v>
      </c>
      <c r="B833" s="206" t="s">
        <v>949</v>
      </c>
      <c r="C833" s="209" t="s">
        <v>1810</v>
      </c>
      <c r="D833" s="277">
        <f>LOOKUP(A833,'[3]PT'!$A$2:$A$725,'[3]PT'!$D$2:$D$725)</f>
        <v>35.2274</v>
      </c>
    </row>
    <row r="834" spans="1:4" ht="15" customHeight="1">
      <c r="A834" s="209" t="s">
        <v>950</v>
      </c>
      <c r="B834" s="206" t="s">
        <v>951</v>
      </c>
      <c r="C834" s="209" t="s">
        <v>1810</v>
      </c>
      <c r="D834" s="277">
        <f>LOOKUP(A834,'[3]PT'!$A$2:$A$725,'[3]PT'!$D$2:$D$725)</f>
        <v>42.3491</v>
      </c>
    </row>
    <row r="835" spans="1:4" ht="15" customHeight="1">
      <c r="A835" s="209" t="s">
        <v>952</v>
      </c>
      <c r="B835" s="206" t="s">
        <v>953</v>
      </c>
      <c r="C835" s="209" t="s">
        <v>178</v>
      </c>
      <c r="D835" s="277">
        <f>LOOKUP(A835,'[3]PT'!$A$2:$A$725,'[3]PT'!$D$2:$D$725)</f>
        <v>2.0922</v>
      </c>
    </row>
    <row r="836" spans="1:4" ht="15" customHeight="1">
      <c r="A836" s="209" t="s">
        <v>954</v>
      </c>
      <c r="B836" s="206" t="s">
        <v>955</v>
      </c>
      <c r="C836" s="209" t="s">
        <v>178</v>
      </c>
      <c r="D836" s="277">
        <f>LOOKUP(A836,'[3]PT'!$A$2:$A$725,'[3]PT'!$D$2:$D$725)</f>
        <v>6.4948</v>
      </c>
    </row>
    <row r="837" spans="1:4" ht="15" customHeight="1">
      <c r="A837" s="209" t="s">
        <v>956</v>
      </c>
      <c r="B837" s="206" t="s">
        <v>957</v>
      </c>
      <c r="C837" s="209" t="s">
        <v>178</v>
      </c>
      <c r="D837" s="277">
        <f>LOOKUP(A837,'[3]PT'!$A$2:$A$725,'[3]PT'!$D$2:$D$725)</f>
        <v>5.2639</v>
      </c>
    </row>
    <row r="838" spans="1:4" ht="15" customHeight="1">
      <c r="A838" s="209" t="s">
        <v>958</v>
      </c>
      <c r="B838" s="206" t="s">
        <v>959</v>
      </c>
      <c r="C838" s="209" t="s">
        <v>178</v>
      </c>
      <c r="D838" s="277">
        <f>LOOKUP(A838,'[3]PT'!$A$2:$A$725,'[3]PT'!$D$2:$D$725)</f>
        <v>5.2639</v>
      </c>
    </row>
    <row r="839" spans="1:4" ht="15" customHeight="1">
      <c r="A839" s="209" t="s">
        <v>960</v>
      </c>
      <c r="B839" s="206" t="s">
        <v>961</v>
      </c>
      <c r="C839" s="209" t="s">
        <v>178</v>
      </c>
      <c r="D839" s="277">
        <f>LOOKUP(A839,'[3]PT'!$A$2:$A$725,'[3]PT'!$D$2:$D$725)</f>
        <v>43.4794</v>
      </c>
    </row>
    <row r="840" spans="1:4" ht="15" customHeight="1">
      <c r="A840" s="209" t="s">
        <v>962</v>
      </c>
      <c r="B840" s="206" t="s">
        <v>963</v>
      </c>
      <c r="C840" s="209" t="s">
        <v>178</v>
      </c>
      <c r="D840" s="277">
        <f>LOOKUP(A840,'[3]PT'!$A$2:$A$725,'[3]PT'!$D$2:$D$725)</f>
        <v>77.7032</v>
      </c>
    </row>
    <row r="841" spans="1:4" ht="15" customHeight="1">
      <c r="A841" s="209" t="s">
        <v>964</v>
      </c>
      <c r="B841" s="206" t="s">
        <v>965</v>
      </c>
      <c r="C841" s="209" t="s">
        <v>178</v>
      </c>
      <c r="D841" s="277">
        <f>LOOKUP(A841,'[3]PT'!$A$2:$A$725,'[3]PT'!$D$2:$D$725)</f>
        <v>7.7295</v>
      </c>
    </row>
    <row r="842" spans="1:4" ht="15" customHeight="1">
      <c r="A842" s="209" t="s">
        <v>966</v>
      </c>
      <c r="B842" s="206" t="s">
        <v>967</v>
      </c>
      <c r="C842" s="209" t="s">
        <v>178</v>
      </c>
      <c r="D842" s="277">
        <f>LOOKUP(A842,'[3]PT'!$A$2:$A$725,'[3]PT'!$D$2:$D$725)</f>
        <v>2.4156</v>
      </c>
    </row>
    <row r="843" spans="1:4" ht="15" customHeight="1">
      <c r="A843" s="209" t="s">
        <v>968</v>
      </c>
      <c r="B843" s="206" t="s">
        <v>969</v>
      </c>
      <c r="C843" s="209" t="s">
        <v>178</v>
      </c>
      <c r="D843" s="277">
        <f>LOOKUP(A843,'[3]PT'!$A$2:$A$725,'[3]PT'!$D$2:$D$725)</f>
        <v>7.6027</v>
      </c>
    </row>
    <row r="844" spans="1:4" ht="15" customHeight="1">
      <c r="A844" s="209" t="s">
        <v>970</v>
      </c>
      <c r="B844" s="206" t="s">
        <v>971</v>
      </c>
      <c r="C844" s="209" t="s">
        <v>178</v>
      </c>
      <c r="D844" s="277">
        <f>LOOKUP(A844,'[3]PT'!$A$2:$A$725,'[3]PT'!$D$2:$D$725)</f>
        <v>13.9398</v>
      </c>
    </row>
    <row r="845" spans="1:4" ht="15" customHeight="1">
      <c r="A845" s="209" t="s">
        <v>972</v>
      </c>
      <c r="B845" s="206" t="s">
        <v>973</v>
      </c>
      <c r="C845" s="209" t="s">
        <v>178</v>
      </c>
      <c r="D845" s="277">
        <f>LOOKUP(A845,'[3]PT'!$A$2:$A$725,'[3]PT'!$D$2:$D$725)</f>
        <v>630.355</v>
      </c>
    </row>
    <row r="846" spans="1:4" ht="15" customHeight="1">
      <c r="A846" s="209" t="s">
        <v>974</v>
      </c>
      <c r="B846" s="206" t="s">
        <v>975</v>
      </c>
      <c r="C846" s="209" t="s">
        <v>178</v>
      </c>
      <c r="D846" s="277">
        <f>LOOKUP(A846,'[3]PT'!$A$2:$A$725,'[3]PT'!$D$2:$D$725)</f>
        <v>496.235</v>
      </c>
    </row>
    <row r="847" spans="1:4" ht="15" customHeight="1">
      <c r="A847" s="209" t="s">
        <v>976</v>
      </c>
      <c r="B847" s="206" t="s">
        <v>977</v>
      </c>
      <c r="C847" s="209" t="s">
        <v>178</v>
      </c>
      <c r="D847" s="277">
        <f>LOOKUP(A847,'[3]PT'!$A$2:$A$725,'[3]PT'!$D$2:$D$725)</f>
        <v>706.345</v>
      </c>
    </row>
    <row r="848" spans="1:4" ht="15" customHeight="1">
      <c r="A848" s="209" t="s">
        <v>978</v>
      </c>
      <c r="B848" s="206" t="s">
        <v>979</v>
      </c>
      <c r="C848" s="209" t="s">
        <v>178</v>
      </c>
      <c r="D848" s="277">
        <f>LOOKUP(A848,'[3]PT'!$A$2:$A$725,'[3]PT'!$D$2:$D$725)</f>
        <v>85.3462</v>
      </c>
    </row>
    <row r="849" spans="1:4" ht="15" customHeight="1">
      <c r="A849" s="209" t="s">
        <v>980</v>
      </c>
      <c r="B849" s="206" t="s">
        <v>981</v>
      </c>
      <c r="C849" s="209" t="s">
        <v>178</v>
      </c>
      <c r="D849" s="277">
        <f>LOOKUP(A849,'[3]PT'!$A$2:$A$725,'[3]PT'!$D$2:$D$725)</f>
        <v>106.2742</v>
      </c>
    </row>
    <row r="850" spans="1:4" ht="15" customHeight="1">
      <c r="A850" s="209" t="s">
        <v>982</v>
      </c>
      <c r="B850" s="206" t="s">
        <v>983</v>
      </c>
      <c r="C850" s="209" t="s">
        <v>178</v>
      </c>
      <c r="D850" s="277">
        <f>LOOKUP(A850,'[3]PT'!$A$2:$A$725,'[3]PT'!$D$2:$D$725)</f>
        <v>109.3918</v>
      </c>
    </row>
    <row r="851" spans="1:4" ht="15" customHeight="1">
      <c r="A851" s="209" t="s">
        <v>984</v>
      </c>
      <c r="B851" s="206" t="s">
        <v>985</v>
      </c>
      <c r="C851" s="209" t="s">
        <v>178</v>
      </c>
      <c r="D851" s="277">
        <f>LOOKUP(A851,'[3]PT'!$A$2:$A$725,'[3]PT'!$D$2:$D$725)</f>
        <v>42.3065</v>
      </c>
    </row>
    <row r="852" spans="1:4" ht="15" customHeight="1">
      <c r="A852" s="209" t="s">
        <v>986</v>
      </c>
      <c r="B852" s="206" t="s">
        <v>987</v>
      </c>
      <c r="C852" s="209" t="s">
        <v>178</v>
      </c>
      <c r="D852" s="277">
        <f>LOOKUP(A852,'[3]PT'!$A$2:$A$725,'[3]PT'!$D$2:$D$725)</f>
        <v>113.9158</v>
      </c>
    </row>
    <row r="853" spans="1:4" ht="15" customHeight="1">
      <c r="A853" s="209" t="s">
        <v>988</v>
      </c>
      <c r="B853" s="206" t="s">
        <v>989</v>
      </c>
      <c r="C853" s="209" t="s">
        <v>178</v>
      </c>
      <c r="D853" s="277">
        <f>LOOKUP(A853,'[3]PT'!$A$2:$A$725,'[3]PT'!$D$2:$D$725)</f>
        <v>27.1787</v>
      </c>
    </row>
    <row r="854" spans="1:4" ht="15" customHeight="1">
      <c r="A854" s="209" t="s">
        <v>1318</v>
      </c>
      <c r="B854" s="206" t="s">
        <v>990</v>
      </c>
      <c r="C854" s="209" t="s">
        <v>178</v>
      </c>
      <c r="D854" s="277">
        <f>LOOKUP(A854,'[3]PT'!$A$2:$A$725,'[3]PT'!$D$2:$D$725)</f>
        <v>60.2806</v>
      </c>
    </row>
    <row r="855" spans="1:4" ht="15" customHeight="1">
      <c r="A855" s="209" t="s">
        <v>991</v>
      </c>
      <c r="B855" s="206" t="s">
        <v>992</v>
      </c>
      <c r="C855" s="209" t="s">
        <v>178</v>
      </c>
      <c r="D855" s="277">
        <f>LOOKUP(A855,'[3]PT'!$A$2:$A$725,'[3]PT'!$D$2:$D$725)</f>
        <v>65.3789</v>
      </c>
    </row>
    <row r="856" spans="1:4" ht="15" customHeight="1">
      <c r="A856" s="209" t="s">
        <v>993</v>
      </c>
      <c r="B856" s="206" t="s">
        <v>994</v>
      </c>
      <c r="C856" s="209" t="s">
        <v>178</v>
      </c>
      <c r="D856" s="277">
        <f>LOOKUP(A856,'[3]PT'!$A$2:$A$725,'[3]PT'!$D$2:$D$725)</f>
        <v>11.0433</v>
      </c>
    </row>
    <row r="857" spans="1:4" ht="15" customHeight="1">
      <c r="A857" s="209" t="s">
        <v>995</v>
      </c>
      <c r="B857" s="206" t="s">
        <v>996</v>
      </c>
      <c r="C857" s="209" t="s">
        <v>1937</v>
      </c>
      <c r="D857" s="277">
        <f>LOOKUP(A857,'[3]PT'!$A$2:$A$725,'[3]PT'!$D$2:$D$725)</f>
        <v>611.7</v>
      </c>
    </row>
    <row r="858" spans="1:4" ht="15" customHeight="1">
      <c r="A858" s="209" t="s">
        <v>997</v>
      </c>
      <c r="B858" s="206" t="s">
        <v>998</v>
      </c>
      <c r="C858" s="209" t="s">
        <v>1937</v>
      </c>
      <c r="D858" s="277">
        <f>LOOKUP(A858,'[3]PT'!$A$2:$A$725,'[3]PT'!$D$2:$D$725)</f>
        <v>660.8023</v>
      </c>
    </row>
    <row r="859" spans="1:4" ht="15" customHeight="1">
      <c r="A859" s="209" t="s">
        <v>999</v>
      </c>
      <c r="B859" s="206" t="s">
        <v>1000</v>
      </c>
      <c r="C859" s="209" t="s">
        <v>1937</v>
      </c>
      <c r="D859" s="277">
        <f>LOOKUP(A859,'[3]PT'!$A$2:$A$725,'[3]PT'!$D$2:$D$725)</f>
        <v>1753.55</v>
      </c>
    </row>
    <row r="860" spans="1:4" ht="15" customHeight="1">
      <c r="A860" s="209" t="s">
        <v>1001</v>
      </c>
      <c r="B860" s="206" t="s">
        <v>1002</v>
      </c>
      <c r="C860" s="209" t="s">
        <v>1937</v>
      </c>
      <c r="D860" s="277">
        <f>LOOKUP(A860,'[3]PT'!$A$2:$A$725,'[3]PT'!$D$2:$D$725)</f>
        <v>2437.44</v>
      </c>
    </row>
    <row r="861" spans="1:4" ht="15" customHeight="1">
      <c r="A861" s="209" t="s">
        <v>1003</v>
      </c>
      <c r="B861" s="206" t="s">
        <v>1004</v>
      </c>
      <c r="C861" s="209" t="s">
        <v>1937</v>
      </c>
      <c r="D861" s="277">
        <f>LOOKUP(A861,'[3]PT'!$A$2:$A$725,'[3]PT'!$D$2:$D$725)</f>
        <v>23.64</v>
      </c>
    </row>
    <row r="862" spans="1:4" ht="15" customHeight="1">
      <c r="A862" s="209" t="s">
        <v>1005</v>
      </c>
      <c r="B862" s="206" t="s">
        <v>1006</v>
      </c>
      <c r="C862" s="209" t="s">
        <v>1937</v>
      </c>
      <c r="D862" s="277">
        <f>LOOKUP(A862,'[3]PT'!$A$2:$A$725,'[3]PT'!$D$2:$D$725)</f>
        <v>821.2413</v>
      </c>
    </row>
    <row r="863" spans="1:4" ht="15" customHeight="1">
      <c r="A863" s="209" t="s">
        <v>1007</v>
      </c>
      <c r="B863" s="206" t="s">
        <v>1008</v>
      </c>
      <c r="C863" s="209" t="s">
        <v>178</v>
      </c>
      <c r="D863" s="277">
        <f>LOOKUP(A863,'[3]PT'!$A$2:$A$725,'[3]PT'!$D$2:$D$725)</f>
        <v>25.3028</v>
      </c>
    </row>
    <row r="864" spans="1:4" ht="15" customHeight="1">
      <c r="A864" s="209" t="s">
        <v>1009</v>
      </c>
      <c r="B864" s="206" t="s">
        <v>1010</v>
      </c>
      <c r="C864" s="209" t="s">
        <v>178</v>
      </c>
      <c r="D864" s="277">
        <f>LOOKUP(A864,'[3]PT'!$A$2:$A$725,'[3]PT'!$D$2:$D$725)</f>
        <v>25.1117</v>
      </c>
    </row>
    <row r="865" spans="1:4" ht="15" customHeight="1">
      <c r="A865" s="209" t="s">
        <v>1012</v>
      </c>
      <c r="B865" s="206" t="s">
        <v>1013</v>
      </c>
      <c r="C865" s="209" t="s">
        <v>1937</v>
      </c>
      <c r="D865" s="277">
        <f>LOOKUP(A865,'[3]PT'!$A$2:$A$725,'[3]PT'!$D$2:$D$725)</f>
        <v>111.92</v>
      </c>
    </row>
    <row r="866" spans="1:4" ht="15" customHeight="1">
      <c r="A866" s="209" t="s">
        <v>1014</v>
      </c>
      <c r="B866" s="206" t="s">
        <v>1015</v>
      </c>
      <c r="C866" s="209" t="s">
        <v>1937</v>
      </c>
      <c r="D866" s="277">
        <f>LOOKUP(A866,'[3]PT'!$A$2:$A$725,'[3]PT'!$D$2:$D$725)</f>
        <v>62.5273</v>
      </c>
    </row>
    <row r="867" spans="1:4" ht="15" customHeight="1">
      <c r="A867" s="209" t="s">
        <v>1016</v>
      </c>
      <c r="B867" s="206" t="s">
        <v>1017</v>
      </c>
      <c r="C867" s="209" t="s">
        <v>1937</v>
      </c>
      <c r="D867" s="277">
        <f>LOOKUP(A867,'[3]PT'!$A$2:$A$725,'[3]PT'!$D$2:$D$725)</f>
        <v>54.288</v>
      </c>
    </row>
    <row r="868" spans="1:4" ht="15" customHeight="1">
      <c r="A868" s="209" t="s">
        <v>1018</v>
      </c>
      <c r="B868" s="206" t="s">
        <v>1019</v>
      </c>
      <c r="C868" s="209" t="s">
        <v>1810</v>
      </c>
      <c r="D868" s="277">
        <f>LOOKUP(A868,'[3]PT'!$A$2:$A$725,'[3]PT'!$D$2:$D$725)</f>
        <v>29.16</v>
      </c>
    </row>
    <row r="869" spans="1:4" ht="15" customHeight="1">
      <c r="A869" s="209" t="s">
        <v>1020</v>
      </c>
      <c r="B869" s="206" t="s">
        <v>1021</v>
      </c>
      <c r="C869" s="209" t="s">
        <v>1810</v>
      </c>
      <c r="D869" s="277">
        <f>LOOKUP(A869,'[3]PT'!$A$2:$A$725,'[3]PT'!$D$2:$D$725)</f>
        <v>26.47</v>
      </c>
    </row>
    <row r="870" spans="1:4" ht="15" customHeight="1">
      <c r="A870" s="209" t="s">
        <v>1022</v>
      </c>
      <c r="B870" s="206" t="s">
        <v>1023</v>
      </c>
      <c r="C870" s="209" t="s">
        <v>1810</v>
      </c>
      <c r="D870" s="277">
        <f>LOOKUP(A870,'[3]PT'!$A$2:$A$725,'[3]PT'!$D$2:$D$725)</f>
        <v>22.35</v>
      </c>
    </row>
    <row r="871" spans="1:4" ht="15" customHeight="1">
      <c r="A871" s="209" t="s">
        <v>1024</v>
      </c>
      <c r="B871" s="206" t="s">
        <v>1025</v>
      </c>
      <c r="C871" s="209" t="s">
        <v>1810</v>
      </c>
      <c r="D871" s="277">
        <f>LOOKUP(A871,'[3]PT'!$A$2:$A$725,'[3]PT'!$D$2:$D$725)</f>
        <v>26.45</v>
      </c>
    </row>
    <row r="872" spans="1:4" ht="15" customHeight="1">
      <c r="A872" s="209" t="s">
        <v>1026</v>
      </c>
      <c r="B872" s="206" t="s">
        <v>1027</v>
      </c>
      <c r="C872" s="209" t="s">
        <v>1810</v>
      </c>
      <c r="D872" s="277">
        <f>LOOKUP(A872,'[3]PT'!$A$2:$A$725,'[3]PT'!$D$2:$D$725)</f>
        <v>28.79</v>
      </c>
    </row>
    <row r="873" spans="1:4" ht="15" customHeight="1">
      <c r="A873" s="209" t="s">
        <v>1028</v>
      </c>
      <c r="B873" s="206" t="s">
        <v>1029</v>
      </c>
      <c r="C873" s="209" t="s">
        <v>1937</v>
      </c>
      <c r="D873" s="277">
        <f>LOOKUP(A873,'[3]PT'!$A$2:$A$725,'[3]PT'!$D$2:$D$725)</f>
        <v>88.24</v>
      </c>
    </row>
    <row r="874" spans="1:4" ht="15" customHeight="1">
      <c r="A874" s="209" t="s">
        <v>1030</v>
      </c>
      <c r="B874" s="206" t="s">
        <v>1031</v>
      </c>
      <c r="C874" s="209" t="s">
        <v>1937</v>
      </c>
      <c r="D874" s="277">
        <f>LOOKUP(A874,'[3]PT'!$A$2:$A$725,'[3]PT'!$D$2:$D$725)</f>
        <v>57.89</v>
      </c>
    </row>
    <row r="875" spans="1:17" ht="15" customHeight="1">
      <c r="A875" s="209"/>
      <c r="B875" s="206"/>
      <c r="C875" s="209"/>
      <c r="D875" s="277"/>
      <c r="Q875" s="408" t="s">
        <v>2029</v>
      </c>
    </row>
    <row r="876" spans="1:17" ht="15" customHeight="1">
      <c r="A876" s="209"/>
      <c r="B876" s="206"/>
      <c r="C876" s="209"/>
      <c r="D876" s="277"/>
      <c r="Q876" s="408" t="s">
        <v>2029</v>
      </c>
    </row>
    <row r="877" spans="1:17" ht="15" customHeight="1">
      <c r="A877" s="209"/>
      <c r="B877" s="206"/>
      <c r="C877" s="209"/>
      <c r="D877" s="277"/>
      <c r="Q877" s="408" t="s">
        <v>2029</v>
      </c>
    </row>
    <row r="878" spans="1:4" ht="15" customHeight="1">
      <c r="A878" s="209" t="s">
        <v>1032</v>
      </c>
      <c r="B878" s="206" t="s">
        <v>1033</v>
      </c>
      <c r="C878" s="209" t="s">
        <v>1937</v>
      </c>
      <c r="D878" s="277">
        <f>LOOKUP(A878,'[3]PT'!$A$2:$A$725,'[3]PT'!$D$2:$D$725)</f>
        <v>206.615</v>
      </c>
    </row>
    <row r="879" spans="1:4" ht="15" customHeight="1">
      <c r="A879" s="209" t="s">
        <v>1034</v>
      </c>
      <c r="B879" s="206" t="s">
        <v>1035</v>
      </c>
      <c r="C879" s="209" t="s">
        <v>1937</v>
      </c>
      <c r="D879" s="277">
        <f>LOOKUP(A879,'[3]PT'!$A$2:$A$725,'[3]PT'!$D$2:$D$725)</f>
        <v>321.49</v>
      </c>
    </row>
    <row r="880" spans="1:4" ht="15" customHeight="1">
      <c r="A880" s="209" t="s">
        <v>1036</v>
      </c>
      <c r="B880" s="206" t="s">
        <v>1037</v>
      </c>
      <c r="C880" s="209" t="s">
        <v>1937</v>
      </c>
      <c r="D880" s="277">
        <f>LOOKUP(A880,'[3]PT'!$A$2:$A$725,'[3]PT'!$D$2:$D$725)</f>
        <v>634.9415</v>
      </c>
    </row>
  </sheetData>
  <sheetProtection/>
  <mergeCells count="2">
    <mergeCell ref="A2:G2"/>
    <mergeCell ref="A1:O1"/>
  </mergeCells>
  <printOptions/>
  <pageMargins left="1.4566929133858268" right="0" top="0.5118110236220472" bottom="1.2598425196850394" header="0.5905511811023623" footer="0.2362204724409449"/>
  <pageSetup horizontalDpi="300" verticalDpi="300" orientation="portrait" paperSize="9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2:G109"/>
  <sheetViews>
    <sheetView showGridLines="0" zoomScale="90" zoomScaleNormal="90" zoomScaleSheetLayoutView="75" zoomScalePageLayoutView="0" workbookViewId="0" topLeftCell="A1">
      <selection activeCell="A105" sqref="A10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221" t="s">
        <v>21</v>
      </c>
      <c r="C2" s="77" t="str">
        <f>Fecha</f>
        <v>abr-2014</v>
      </c>
      <c r="D2" s="48"/>
      <c r="E2" s="48"/>
      <c r="F2" s="222">
        <f>SUM(F5:F9)</f>
        <v>29.634881</v>
      </c>
      <c r="G2" s="41"/>
    </row>
    <row r="3" spans="1:7" ht="13.5" thickBot="1">
      <c r="A3" s="7" t="s">
        <v>345</v>
      </c>
      <c r="B3" s="7" t="s">
        <v>1783</v>
      </c>
      <c r="C3" s="78" t="s">
        <v>344</v>
      </c>
      <c r="D3" s="49" t="s">
        <v>22</v>
      </c>
      <c r="E3" s="50"/>
      <c r="F3" s="68"/>
      <c r="G3" s="42" t="s">
        <v>1810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1681</v>
      </c>
      <c r="B5" s="4" t="str">
        <f>VLOOKUP(A5,Insumos,2)</f>
        <v>alambre de puas x 500 m.</v>
      </c>
      <c r="C5" s="6" t="str">
        <f>VLOOKUP(A5,Insumos,3)</f>
        <v>rollo</v>
      </c>
      <c r="D5" s="51">
        <f>4.1/500</f>
        <v>0.008199999999999999</v>
      </c>
      <c r="E5" s="51">
        <f>VLOOKUP(A5,'IN-04-14'!A6:D880,4)</f>
        <v>563.84</v>
      </c>
      <c r="F5" s="69">
        <f>(D5*E5)</f>
        <v>4.623488</v>
      </c>
    </row>
    <row r="6" spans="1:6" ht="12.75">
      <c r="A6" s="3" t="s">
        <v>1682</v>
      </c>
      <c r="B6" s="4" t="str">
        <f>VLOOKUP(A6,Insumos,2)</f>
        <v>pintura asfáltica secado rapido</v>
      </c>
      <c r="C6" s="6" t="str">
        <f>VLOOKUP(A6,Insumos,3)</f>
        <v>l</v>
      </c>
      <c r="D6" s="51">
        <v>0.07</v>
      </c>
      <c r="E6" s="51">
        <f>VLOOKUP(A6,'IN-04-14'!A7:D881,4)</f>
        <v>17.1</v>
      </c>
      <c r="F6" s="69">
        <f>(D6*E6)</f>
        <v>1.1970000000000003</v>
      </c>
    </row>
    <row r="7" spans="1:6" ht="12.75">
      <c r="A7" s="3" t="s">
        <v>148</v>
      </c>
      <c r="B7" s="4" t="str">
        <f>VLOOKUP(A7,Insumos,2)</f>
        <v>madera 1" pino nacional s/cepillar</v>
      </c>
      <c r="C7" s="6" t="str">
        <f>VLOOKUP(A7,Insumos,3)</f>
        <v>m2</v>
      </c>
      <c r="D7" s="51">
        <v>0.0822</v>
      </c>
      <c r="E7" s="51">
        <f>VLOOKUP(A7,'IN-04-14'!A8:D882,4)</f>
        <v>77.815</v>
      </c>
      <c r="F7" s="69">
        <f>(D7*E7)</f>
        <v>6.396393</v>
      </c>
    </row>
    <row r="8" spans="1:6" ht="12.75">
      <c r="A8" s="82" t="s">
        <v>351</v>
      </c>
      <c r="D8" s="51"/>
      <c r="E8" s="51"/>
      <c r="F8" s="69"/>
    </row>
    <row r="9" spans="1:6" ht="12.75">
      <c r="A9" s="3" t="s">
        <v>1636</v>
      </c>
      <c r="B9" s="4" t="str">
        <f>VLOOKUP(A9,Insumos,2)</f>
        <v>cuadrilla tipo UOCRA</v>
      </c>
      <c r="C9" s="6" t="str">
        <f>VLOOKUP(A9,Insumos,3)</f>
        <v>h</v>
      </c>
      <c r="D9" s="51">
        <v>0.3</v>
      </c>
      <c r="E9" s="51">
        <f>VLOOKUP(A9,'IN-04-14'!A10:D884,4)</f>
        <v>58.06</v>
      </c>
      <c r="F9" s="69">
        <f>(D9*E9)</f>
        <v>17.418</v>
      </c>
    </row>
    <row r="10" spans="1:6" ht="13.5" thickBot="1">
      <c r="A10" s="3"/>
      <c r="B10" s="4"/>
      <c r="C10" s="78"/>
      <c r="D10" s="51"/>
      <c r="E10" s="51"/>
      <c r="F10" s="69"/>
    </row>
    <row r="11" spans="1:7" ht="13.5" thickTop="1">
      <c r="A11" s="75" t="s">
        <v>346</v>
      </c>
      <c r="B11" s="221" t="s">
        <v>1894</v>
      </c>
      <c r="C11" s="77" t="str">
        <f>Fecha</f>
        <v>abr-2014</v>
      </c>
      <c r="D11" s="48"/>
      <c r="E11" s="48"/>
      <c r="F11" s="222">
        <f>SUM(F14:F18)</f>
        <v>256.843072</v>
      </c>
      <c r="G11" s="41"/>
    </row>
    <row r="12" spans="1:7" ht="13.5" thickBot="1">
      <c r="A12" s="7" t="s">
        <v>345</v>
      </c>
      <c r="B12" s="7" t="s">
        <v>1783</v>
      </c>
      <c r="C12" s="78" t="s">
        <v>344</v>
      </c>
      <c r="D12" s="49" t="s">
        <v>23</v>
      </c>
      <c r="E12" s="50"/>
      <c r="F12" s="68"/>
      <c r="G12" s="42" t="s">
        <v>178</v>
      </c>
    </row>
    <row r="13" spans="1:6" ht="13.5" thickTop="1">
      <c r="A13" s="82" t="s">
        <v>350</v>
      </c>
      <c r="D13" s="51"/>
      <c r="E13" s="51"/>
      <c r="F13" s="69"/>
    </row>
    <row r="14" spans="1:6" ht="12.75">
      <c r="A14" s="3" t="s">
        <v>1639</v>
      </c>
      <c r="B14" s="4" t="str">
        <f>VLOOKUP(A14,Insumos,2)</f>
        <v>cemento Portland</v>
      </c>
      <c r="C14" s="6" t="str">
        <f>VLOOKUP(A14,Insumos,3)</f>
        <v>kg</v>
      </c>
      <c r="D14" s="51">
        <f>+D16*250*2</f>
        <v>46.800000000000004</v>
      </c>
      <c r="E14" s="51">
        <f>VLOOKUP(A14,'IN-04-14'!A15:D889,4)</f>
        <v>1.65</v>
      </c>
      <c r="F14" s="69">
        <f>(D14*E14)</f>
        <v>77.22</v>
      </c>
    </row>
    <row r="15" spans="1:6" ht="12.75">
      <c r="A15" s="3" t="s">
        <v>1638</v>
      </c>
      <c r="B15" s="4" t="str">
        <f>VLOOKUP(A15,Insumos,2)</f>
        <v>hierro mejorado de 10 mm.</v>
      </c>
      <c r="C15" s="6" t="str">
        <f>VLOOKUP(A15,Insumos,3)</f>
        <v>kg</v>
      </c>
      <c r="D15" s="51">
        <f>0.2*2</f>
        <v>0.4</v>
      </c>
      <c r="E15" s="51">
        <f>VLOOKUP(A15,'IN-04-14'!A7:D890,4)</f>
        <v>9.3933</v>
      </c>
      <c r="F15" s="69">
        <f>(D15*E15)</f>
        <v>3.75732</v>
      </c>
    </row>
    <row r="16" spans="1:6" ht="12.75">
      <c r="A16" s="3" t="s">
        <v>1651</v>
      </c>
      <c r="B16" s="4" t="str">
        <f>VLOOKUP(A16,Insumos,2)</f>
        <v>ripiosa</v>
      </c>
      <c r="C16" s="6" t="str">
        <f>VLOOKUP(A16,Insumos,3)</f>
        <v>m3</v>
      </c>
      <c r="D16" s="51">
        <f>0.0468*2</f>
        <v>0.0936</v>
      </c>
      <c r="E16" s="51">
        <f>VLOOKUP(A16,'IN-04-14'!A17:D891,4)</f>
        <v>142.07</v>
      </c>
      <c r="F16" s="69">
        <f>(D16*E16)</f>
        <v>13.297752</v>
      </c>
    </row>
    <row r="17" spans="1:6" ht="12.75">
      <c r="A17" s="82" t="s">
        <v>351</v>
      </c>
      <c r="D17" s="51"/>
      <c r="E17" s="51"/>
      <c r="F17" s="69"/>
    </row>
    <row r="18" spans="1:6" ht="12.75">
      <c r="A18" s="3" t="s">
        <v>1636</v>
      </c>
      <c r="B18" s="4" t="str">
        <f>VLOOKUP(A18,Insumos,2)</f>
        <v>cuadrilla tipo UOCRA</v>
      </c>
      <c r="C18" s="6" t="str">
        <f>VLOOKUP(A18,Insumos,3)</f>
        <v>h</v>
      </c>
      <c r="D18" s="51">
        <f>1.4*2</f>
        <v>2.8</v>
      </c>
      <c r="E18" s="51">
        <f>VLOOKUP(A18,'IN-04-14'!A19:D893,4)</f>
        <v>58.06</v>
      </c>
      <c r="F18" s="69">
        <f>(D18*E18)</f>
        <v>162.56799999999998</v>
      </c>
    </row>
    <row r="19" spans="1:6" ht="13.5" thickBot="1">
      <c r="A19" s="3"/>
      <c r="B19" s="4"/>
      <c r="C19" s="6"/>
      <c r="D19" s="51"/>
      <c r="E19" s="51"/>
      <c r="F19" s="69"/>
    </row>
    <row r="20" spans="1:7" ht="13.5" thickTop="1">
      <c r="A20" s="75" t="s">
        <v>346</v>
      </c>
      <c r="B20" s="221" t="s">
        <v>24</v>
      </c>
      <c r="C20" s="77" t="str">
        <f>Fecha</f>
        <v>abr-2014</v>
      </c>
      <c r="D20" s="48"/>
      <c r="E20" s="48"/>
      <c r="F20" s="222">
        <f>SUM(F23:F36)</f>
        <v>363.95176000000004</v>
      </c>
      <c r="G20" s="41"/>
    </row>
    <row r="21" spans="1:7" ht="13.5" thickBot="1">
      <c r="A21" s="7" t="s">
        <v>345</v>
      </c>
      <c r="B21" s="7" t="s">
        <v>1783</v>
      </c>
      <c r="C21" s="78" t="s">
        <v>344</v>
      </c>
      <c r="D21" s="49" t="s">
        <v>1784</v>
      </c>
      <c r="E21" s="50"/>
      <c r="F21" s="68"/>
      <c r="G21" s="42" t="s">
        <v>1810</v>
      </c>
    </row>
    <row r="22" spans="1:6" ht="13.5" thickTop="1">
      <c r="A22" s="82" t="s">
        <v>350</v>
      </c>
      <c r="D22" s="51"/>
      <c r="E22" s="51"/>
      <c r="F22" s="69"/>
    </row>
    <row r="23" spans="1:6" ht="12.75">
      <c r="A23" s="3" t="s">
        <v>1639</v>
      </c>
      <c r="B23" s="4" t="str">
        <f aca="true" t="shared" si="0" ref="B23:B32">VLOOKUP(A23,Insumos,2)</f>
        <v>cemento Portland</v>
      </c>
      <c r="C23" s="6" t="str">
        <f aca="true" t="shared" si="1" ref="C23:C32">VLOOKUP(A23,Insumos,3)</f>
        <v>kg</v>
      </c>
      <c r="D23" s="51">
        <v>36.67</v>
      </c>
      <c r="E23" s="51">
        <f>VLOOKUP(A23,'IN-04-14'!A24:D898,4)</f>
        <v>1.65</v>
      </c>
      <c r="F23" s="69">
        <f aca="true" t="shared" si="2" ref="F23:F32">(D23*E23)</f>
        <v>60.5055</v>
      </c>
    </row>
    <row r="24" spans="1:6" ht="12.75">
      <c r="A24" s="3" t="s">
        <v>1640</v>
      </c>
      <c r="B24" s="4" t="str">
        <f t="shared" si="0"/>
        <v>ripio zarandeado 1/3</v>
      </c>
      <c r="C24" s="6" t="str">
        <f t="shared" si="1"/>
        <v>m3</v>
      </c>
      <c r="D24" s="51">
        <v>0.103</v>
      </c>
      <c r="E24" s="51">
        <f>VLOOKUP(A24,'IN-04-14'!A25:D899,4)</f>
        <v>126.06</v>
      </c>
      <c r="F24" s="69">
        <f t="shared" si="2"/>
        <v>12.98418</v>
      </c>
    </row>
    <row r="25" spans="1:6" ht="12.75">
      <c r="A25" s="3" t="s">
        <v>1641</v>
      </c>
      <c r="B25" s="4" t="str">
        <f t="shared" si="0"/>
        <v>arena gruesa</v>
      </c>
      <c r="C25" s="6" t="str">
        <f t="shared" si="1"/>
        <v>m3</v>
      </c>
      <c r="D25" s="51">
        <v>0.088</v>
      </c>
      <c r="E25" s="51">
        <f>VLOOKUP(A25,'IN-04-14'!A26:D900,4)</f>
        <v>141.805</v>
      </c>
      <c r="F25" s="69">
        <f t="shared" si="2"/>
        <v>12.47884</v>
      </c>
    </row>
    <row r="26" spans="1:6" ht="12.75">
      <c r="A26" s="3" t="s">
        <v>1785</v>
      </c>
      <c r="B26" s="4" t="str">
        <f t="shared" si="0"/>
        <v>alambre romboidal 150x50x14</v>
      </c>
      <c r="C26" s="6" t="str">
        <f t="shared" si="1"/>
        <v>m</v>
      </c>
      <c r="D26" s="51">
        <v>1</v>
      </c>
      <c r="E26" s="51">
        <f>VLOOKUP(A26,'IN-04-14'!A14:D901,4)</f>
        <v>42.675</v>
      </c>
      <c r="F26" s="69">
        <f t="shared" si="2"/>
        <v>42.675</v>
      </c>
    </row>
    <row r="27" spans="1:6" ht="12.75">
      <c r="A27" s="3" t="s">
        <v>1786</v>
      </c>
      <c r="B27" s="4" t="str">
        <f t="shared" si="0"/>
        <v>alambre galvaniz. 16/14</v>
      </c>
      <c r="C27" s="6" t="str">
        <f t="shared" si="1"/>
        <v>m</v>
      </c>
      <c r="D27" s="51">
        <v>2</v>
      </c>
      <c r="E27" s="51">
        <f>VLOOKUP(A27,'IN-04-14'!A16:D902,4)</f>
        <v>0.9301</v>
      </c>
      <c r="F27" s="69">
        <f t="shared" si="2"/>
        <v>1.8602</v>
      </c>
    </row>
    <row r="28" spans="1:6" ht="12.75">
      <c r="A28" s="3" t="s">
        <v>1681</v>
      </c>
      <c r="B28" s="4" t="str">
        <f t="shared" si="0"/>
        <v>alambre de puas x 500 m.</v>
      </c>
      <c r="C28" s="6" t="str">
        <f t="shared" si="1"/>
        <v>rollo</v>
      </c>
      <c r="D28" s="51">
        <v>0.006</v>
      </c>
      <c r="E28" s="51">
        <f>VLOOKUP(A28,'IN-04-14'!A6:D903,4)</f>
        <v>563.84</v>
      </c>
      <c r="F28" s="69">
        <f t="shared" si="2"/>
        <v>3.3830400000000003</v>
      </c>
    </row>
    <row r="29" spans="1:6" ht="12.75">
      <c r="A29" s="3" t="s">
        <v>1787</v>
      </c>
      <c r="B29" s="4" t="str">
        <f t="shared" si="0"/>
        <v>gancho p/alambre tejido 3/8"x200 mm</v>
      </c>
      <c r="C29" s="6" t="str">
        <f t="shared" si="1"/>
        <v>u</v>
      </c>
      <c r="D29" s="51">
        <v>1</v>
      </c>
      <c r="E29" s="51">
        <f>VLOOKUP(A29,'IN-04-14'!A21:D904,4)</f>
        <v>5.625</v>
      </c>
      <c r="F29" s="69">
        <f t="shared" si="2"/>
        <v>5.625</v>
      </c>
    </row>
    <row r="30" spans="1:6" ht="12.75">
      <c r="A30" s="3" t="s">
        <v>1788</v>
      </c>
      <c r="B30" s="4" t="str">
        <f t="shared" si="0"/>
        <v>hierro planchuela 1/2"x1/8"</v>
      </c>
      <c r="C30" s="6" t="str">
        <f t="shared" si="1"/>
        <v>m</v>
      </c>
      <c r="D30" s="51">
        <v>1</v>
      </c>
      <c r="E30" s="51">
        <f>VLOOKUP(A30,'IN-04-14'!A18:D905,4)</f>
        <v>4.4167</v>
      </c>
      <c r="F30" s="69">
        <f t="shared" si="2"/>
        <v>4.4167</v>
      </c>
    </row>
    <row r="31" spans="1:6" ht="12.75">
      <c r="A31" s="3" t="s">
        <v>1789</v>
      </c>
      <c r="B31" s="4" t="str">
        <f t="shared" si="0"/>
        <v>poste esquinero x 3,05 m</v>
      </c>
      <c r="C31" s="6" t="str">
        <f t="shared" si="1"/>
        <v>u</v>
      </c>
      <c r="D31" s="51">
        <v>0.013</v>
      </c>
      <c r="E31" s="51">
        <f>VLOOKUP(A31,'IN-04-14'!A32:D906,4)</f>
        <v>257.85</v>
      </c>
      <c r="F31" s="69">
        <f t="shared" si="2"/>
        <v>3.35205</v>
      </c>
    </row>
    <row r="32" spans="1:6" ht="12.75">
      <c r="A32" s="3" t="s">
        <v>1790</v>
      </c>
      <c r="B32" s="4" t="str">
        <f t="shared" si="0"/>
        <v>poste intermedio x 3,05 m</v>
      </c>
      <c r="C32" s="6" t="str">
        <f t="shared" si="1"/>
        <v>u</v>
      </c>
      <c r="D32" s="51">
        <v>0.33</v>
      </c>
      <c r="E32" s="51">
        <f>VLOOKUP(A32,'IN-04-14'!A33:D907,4)</f>
        <v>159.505</v>
      </c>
      <c r="F32" s="69">
        <f t="shared" si="2"/>
        <v>52.63665</v>
      </c>
    </row>
    <row r="33" spans="1:6" ht="12.75">
      <c r="A33" s="82" t="s">
        <v>351</v>
      </c>
      <c r="D33" s="51"/>
      <c r="E33" s="51"/>
      <c r="F33" s="69"/>
    </row>
    <row r="34" spans="1:6" ht="12.75">
      <c r="A34" s="3" t="s">
        <v>1636</v>
      </c>
      <c r="B34" s="4" t="str">
        <f>VLOOKUP(A34,Insumos,2)</f>
        <v>cuadrilla tipo UOCRA</v>
      </c>
      <c r="C34" s="6" t="str">
        <f>VLOOKUP(A34,Insumos,3)</f>
        <v>h</v>
      </c>
      <c r="D34" s="51">
        <v>2.7</v>
      </c>
      <c r="E34" s="51">
        <f>VLOOKUP(A34,'IN-04-14'!A35:D909,4)</f>
        <v>58.06</v>
      </c>
      <c r="F34" s="69">
        <f>(D34*E34)</f>
        <v>156.76200000000003</v>
      </c>
    </row>
    <row r="35" spans="1:6" ht="12.75">
      <c r="A35" s="84" t="s">
        <v>352</v>
      </c>
      <c r="B35" s="4"/>
      <c r="C35" s="6"/>
      <c r="D35" s="51"/>
      <c r="E35" s="51"/>
      <c r="F35" s="69"/>
    </row>
    <row r="36" spans="1:6" ht="12.75">
      <c r="A36" s="3" t="s">
        <v>1642</v>
      </c>
      <c r="B36" s="4" t="str">
        <f>VLOOKUP(A36,Insumos,2)</f>
        <v>canasta 2 (mixer 5m3)</v>
      </c>
      <c r="C36" s="6" t="str">
        <f>VLOOKUP(A36,Insumos,3)</f>
        <v>h</v>
      </c>
      <c r="D36" s="51">
        <v>0.01</v>
      </c>
      <c r="E36" s="51">
        <f>VLOOKUP(A36,'IN-04-14'!A37:D911,4)</f>
        <v>727.26</v>
      </c>
      <c r="F36" s="69">
        <f>(D36*E36)</f>
        <v>7.2726</v>
      </c>
    </row>
    <row r="37" spans="1:6" ht="13.5" thickBot="1">
      <c r="A37" s="3"/>
      <c r="B37" s="4"/>
      <c r="C37" s="6"/>
      <c r="D37" s="51"/>
      <c r="E37" s="51"/>
      <c r="F37" s="69"/>
    </row>
    <row r="38" spans="1:7" ht="13.5" thickTop="1">
      <c r="A38" s="75" t="s">
        <v>346</v>
      </c>
      <c r="B38" s="221" t="s">
        <v>25</v>
      </c>
      <c r="C38" s="77" t="str">
        <f>Fecha</f>
        <v>abr-2014</v>
      </c>
      <c r="D38" s="48"/>
      <c r="E38" s="48"/>
      <c r="F38" s="222">
        <f>SUM(F41:F46)</f>
        <v>1487.0609000000002</v>
      </c>
      <c r="G38" s="41"/>
    </row>
    <row r="39" spans="1:7" ht="13.5" thickBot="1">
      <c r="A39" s="7" t="s">
        <v>345</v>
      </c>
      <c r="B39" s="7" t="s">
        <v>1783</v>
      </c>
      <c r="C39" s="78" t="s">
        <v>344</v>
      </c>
      <c r="D39" s="49" t="s">
        <v>1896</v>
      </c>
      <c r="E39" s="50"/>
      <c r="F39" s="68"/>
      <c r="G39" s="42" t="s">
        <v>347</v>
      </c>
    </row>
    <row r="40" spans="1:6" ht="13.5" thickTop="1">
      <c r="A40" s="82" t="s">
        <v>350</v>
      </c>
      <c r="D40" s="51"/>
      <c r="E40" s="51"/>
      <c r="F40" s="69"/>
    </row>
    <row r="41" spans="1:6" ht="12.75">
      <c r="A41" s="232" t="s">
        <v>914</v>
      </c>
      <c r="B41" s="4" t="str">
        <f>VLOOKUP(A41,'IN-04-14'!$A$5:$D$441,2)</f>
        <v>bacha simple acero inox. 52 x 32x18</v>
      </c>
      <c r="C41" s="4" t="str">
        <f>VLOOKUP(A41,'IN-04-14'!$A$5:$D$441,3)</f>
        <v>u</v>
      </c>
      <c r="D41" s="51">
        <v>1</v>
      </c>
      <c r="E41" s="51">
        <f>VLOOKUP(A41,'IN-04-14'!A42:D916,4)</f>
        <v>441.2925</v>
      </c>
      <c r="F41" s="69">
        <f>(D41*E41)</f>
        <v>441.2925</v>
      </c>
    </row>
    <row r="42" spans="1:6" ht="12.75">
      <c r="A42" s="3" t="s">
        <v>1671</v>
      </c>
      <c r="B42" s="4" t="str">
        <f>VLOOKUP(A42,'IN-04-14'!$A$5:$D$441,2)</f>
        <v>mesada granito reconst. 4 cm. de espesor</v>
      </c>
      <c r="C42" s="4" t="str">
        <f>VLOOKUP(A42,'IN-04-14'!$A$5:$D$441,3)</f>
        <v>m2</v>
      </c>
      <c r="D42" s="51">
        <v>1.2</v>
      </c>
      <c r="E42" s="51">
        <f>VLOOKUP(A42,'IN-04-14'!A43:D917,4)</f>
        <v>619.83</v>
      </c>
      <c r="F42" s="69">
        <f>(D42*E42)</f>
        <v>743.796</v>
      </c>
    </row>
    <row r="43" spans="1:6" ht="12.75">
      <c r="A43" s="82" t="s">
        <v>351</v>
      </c>
      <c r="D43" s="51"/>
      <c r="E43" s="51"/>
      <c r="F43" s="69"/>
    </row>
    <row r="44" spans="1:6" ht="12.75">
      <c r="A44" s="3" t="s">
        <v>1636</v>
      </c>
      <c r="B44" s="4" t="str">
        <f>VLOOKUP(A44,Insumos,2)</f>
        <v>cuadrilla tipo UOCRA</v>
      </c>
      <c r="C44" s="6" t="str">
        <f>VLOOKUP(A44,Insumos,3)</f>
        <v>h</v>
      </c>
      <c r="D44" s="51">
        <f>2.7+2</f>
        <v>4.7</v>
      </c>
      <c r="E44" s="51">
        <f>VLOOKUP(A44,'IN-04-14'!A45:D919,4)</f>
        <v>58.06</v>
      </c>
      <c r="F44" s="69">
        <f>(D44*E44)</f>
        <v>272.882</v>
      </c>
    </row>
    <row r="45" spans="1:6" ht="12.75">
      <c r="A45" s="84" t="s">
        <v>352</v>
      </c>
      <c r="B45" s="4"/>
      <c r="C45" s="6"/>
      <c r="D45" s="51"/>
      <c r="E45" s="51"/>
      <c r="F45" s="69"/>
    </row>
    <row r="46" spans="1:6" ht="12.75">
      <c r="A46" s="3" t="s">
        <v>1642</v>
      </c>
      <c r="B46" s="4" t="str">
        <f>VLOOKUP(A46,Insumos,2)</f>
        <v>canasta 2 (mixer 5m3)</v>
      </c>
      <c r="C46" s="6" t="str">
        <f>VLOOKUP(A46,Insumos,3)</f>
        <v>h</v>
      </c>
      <c r="D46" s="51">
        <v>0.04</v>
      </c>
      <c r="E46" s="51">
        <f>VLOOKUP(A46,'IN-04-14'!A47:D921,4)</f>
        <v>727.26</v>
      </c>
      <c r="F46" s="69">
        <f>(D46*E46)</f>
        <v>29.0904</v>
      </c>
    </row>
    <row r="47" ht="13.5" thickBot="1"/>
    <row r="48" spans="1:7" ht="13.5" thickTop="1">
      <c r="A48" s="75" t="s">
        <v>346</v>
      </c>
      <c r="B48" s="221" t="s">
        <v>26</v>
      </c>
      <c r="C48" s="77" t="str">
        <f>Fecha</f>
        <v>abr-2014</v>
      </c>
      <c r="D48" s="48"/>
      <c r="E48" s="48"/>
      <c r="F48" s="222">
        <f>SUM(F51:F55)</f>
        <v>94.5829</v>
      </c>
      <c r="G48" s="41"/>
    </row>
    <row r="49" spans="1:7" ht="13.5" thickBot="1">
      <c r="A49" s="7" t="s">
        <v>345</v>
      </c>
      <c r="B49" s="7" t="s">
        <v>1783</v>
      </c>
      <c r="C49" s="78" t="s">
        <v>344</v>
      </c>
      <c r="D49" s="49" t="s">
        <v>27</v>
      </c>
      <c r="E49" s="50"/>
      <c r="F49" s="68"/>
      <c r="G49" s="42" t="s">
        <v>347</v>
      </c>
    </row>
    <row r="50" spans="1:6" ht="13.5" thickTop="1">
      <c r="A50" s="82" t="s">
        <v>350</v>
      </c>
      <c r="D50" s="51"/>
      <c r="E50" s="51"/>
      <c r="F50" s="69"/>
    </row>
    <row r="51" spans="1:6" ht="12.75">
      <c r="A51" s="3" t="s">
        <v>190</v>
      </c>
      <c r="B51" s="4" t="str">
        <f>VLOOKUP(A51,Insumos,2)</f>
        <v>mantillo</v>
      </c>
      <c r="C51" s="6" t="str">
        <f>VLOOKUP(A51,Insumos,3)</f>
        <v>bolsa</v>
      </c>
      <c r="D51" s="51">
        <v>0.5</v>
      </c>
      <c r="E51" s="51">
        <f>VLOOKUP(A51,'IN-04-14'!A52:D926,4)</f>
        <v>16.51</v>
      </c>
      <c r="F51" s="69">
        <f>(D51*E51)</f>
        <v>8.255</v>
      </c>
    </row>
    <row r="52" spans="1:6" ht="12.75">
      <c r="A52" s="3" t="s">
        <v>189</v>
      </c>
      <c r="B52" s="4" t="str">
        <f>VLOOKUP(A52,Insumos,2)</f>
        <v>árboles para forestación - fresno</v>
      </c>
      <c r="C52" s="6" t="str">
        <f>VLOOKUP(A52,Insumos,3)</f>
        <v>u</v>
      </c>
      <c r="D52" s="51">
        <v>1</v>
      </c>
      <c r="E52" s="51">
        <f>VLOOKUP(A52,'IN-04-14'!A53:D927,4)</f>
        <v>57.2979</v>
      </c>
      <c r="F52" s="69">
        <f>(D52*E52)</f>
        <v>57.2979</v>
      </c>
    </row>
    <row r="53" spans="1:6" ht="12.75">
      <c r="A53" s="82" t="s">
        <v>351</v>
      </c>
      <c r="D53" s="51"/>
      <c r="E53" s="51"/>
      <c r="F53" s="69"/>
    </row>
    <row r="54" spans="1:6" ht="12.75">
      <c r="A54" s="3" t="s">
        <v>1636</v>
      </c>
      <c r="B54" s="4" t="str">
        <f>VLOOKUP(A54,Insumos,2)</f>
        <v>cuadrilla tipo UOCRA</v>
      </c>
      <c r="C54" s="6" t="str">
        <f>VLOOKUP(A54,Insumos,3)</f>
        <v>h</v>
      </c>
      <c r="D54" s="51">
        <v>0.5</v>
      </c>
      <c r="E54" s="51">
        <f>VLOOKUP(A54,'IN-04-14'!A55:D929,4)</f>
        <v>58.06</v>
      </c>
      <c r="F54" s="69">
        <f>(D54*E54)</f>
        <v>29.03</v>
      </c>
    </row>
    <row r="55" spans="1:6" ht="12.75">
      <c r="A55" s="84" t="s">
        <v>352</v>
      </c>
      <c r="B55" s="4"/>
      <c r="C55" s="6"/>
      <c r="D55" s="51"/>
      <c r="E55" s="51"/>
      <c r="F55" s="69"/>
    </row>
    <row r="56" spans="1:6" ht="13.5" thickBot="1">
      <c r="A56" s="3"/>
      <c r="B56" s="4"/>
      <c r="C56" s="6"/>
      <c r="D56" s="51"/>
      <c r="E56" s="51"/>
      <c r="F56" s="69"/>
    </row>
    <row r="57" spans="1:7" ht="13.5" thickTop="1">
      <c r="A57" s="75" t="s">
        <v>346</v>
      </c>
      <c r="B57" s="221" t="s">
        <v>28</v>
      </c>
      <c r="C57" s="77" t="str">
        <f>Fecha</f>
        <v>abr-2014</v>
      </c>
      <c r="D57" s="48"/>
      <c r="E57" s="48"/>
      <c r="F57" s="222">
        <f>SUM(F60:F64)</f>
        <v>1678.8600000000001</v>
      </c>
      <c r="G57" s="41"/>
    </row>
    <row r="58" spans="1:7" ht="13.5" thickBot="1">
      <c r="A58" s="7" t="s">
        <v>345</v>
      </c>
      <c r="B58" s="7" t="s">
        <v>1783</v>
      </c>
      <c r="C58" s="78" t="s">
        <v>344</v>
      </c>
      <c r="D58" s="49" t="s">
        <v>29</v>
      </c>
      <c r="E58" s="50"/>
      <c r="F58" s="68"/>
      <c r="G58" s="42" t="s">
        <v>347</v>
      </c>
    </row>
    <row r="59" spans="1:6" ht="13.5" thickTop="1">
      <c r="A59" s="82" t="s">
        <v>350</v>
      </c>
      <c r="D59" s="51"/>
      <c r="E59" s="51"/>
      <c r="F59" s="69"/>
    </row>
    <row r="60" spans="1:6" ht="12.75">
      <c r="A60" s="3" t="s">
        <v>53</v>
      </c>
      <c r="B60" s="4" t="str">
        <f>VLOOKUP(A60,Insumos,2)</f>
        <v>caño estructural redondo 3" x 1,6 x 6mt.</v>
      </c>
      <c r="C60" s="6" t="str">
        <f>VLOOKUP(A60,Insumos,3)</f>
        <v>m</v>
      </c>
      <c r="D60" s="51">
        <v>34</v>
      </c>
      <c r="E60" s="51">
        <f>VLOOKUP(A60,'IN-04-14'!A61:D935,4)</f>
        <v>40.84</v>
      </c>
      <c r="F60" s="69">
        <f>(D60*E60)</f>
        <v>1388.5600000000002</v>
      </c>
    </row>
    <row r="61" spans="1:6" ht="12.75">
      <c r="A61" s="3"/>
      <c r="B61" s="4"/>
      <c r="C61" s="6"/>
      <c r="D61" s="51"/>
      <c r="E61" s="51"/>
      <c r="F61" s="69"/>
    </row>
    <row r="62" spans="1:6" ht="12.75">
      <c r="A62" s="82" t="s">
        <v>351</v>
      </c>
      <c r="D62" s="51"/>
      <c r="E62" s="51"/>
      <c r="F62" s="69"/>
    </row>
    <row r="63" spans="1:6" ht="12.75">
      <c r="A63" s="3" t="s">
        <v>1636</v>
      </c>
      <c r="B63" s="4" t="str">
        <f>VLOOKUP(A63,Insumos,2)</f>
        <v>cuadrilla tipo UOCRA</v>
      </c>
      <c r="C63" s="6" t="str">
        <f>VLOOKUP(A63,Insumos,3)</f>
        <v>h</v>
      </c>
      <c r="D63" s="51">
        <v>5</v>
      </c>
      <c r="E63" s="51">
        <f>VLOOKUP(A63,'IN-04-14'!A64:D938,4)</f>
        <v>58.06</v>
      </c>
      <c r="F63" s="69">
        <f>(D63*E63)</f>
        <v>290.3</v>
      </c>
    </row>
    <row r="64" spans="1:6" ht="12.75">
      <c r="A64" s="84" t="s">
        <v>352</v>
      </c>
      <c r="B64" s="4"/>
      <c r="C64" s="6"/>
      <c r="D64" s="51"/>
      <c r="E64" s="51"/>
      <c r="F64" s="69"/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346</v>
      </c>
      <c r="B66" s="221" t="s">
        <v>192</v>
      </c>
      <c r="C66" s="77" t="str">
        <f>Fecha</f>
        <v>abr-2014</v>
      </c>
      <c r="D66" s="48"/>
      <c r="E66" s="48"/>
      <c r="F66" s="222">
        <f>SUM(F69:F71)</f>
        <v>8.727540000000001</v>
      </c>
      <c r="G66" s="41"/>
    </row>
    <row r="67" spans="1:7" ht="13.5" thickBot="1">
      <c r="A67" s="7" t="s">
        <v>345</v>
      </c>
      <c r="B67" s="7" t="s">
        <v>1783</v>
      </c>
      <c r="C67" s="78" t="s">
        <v>344</v>
      </c>
      <c r="D67" s="49" t="s">
        <v>1916</v>
      </c>
      <c r="E67" s="50"/>
      <c r="F67" s="68"/>
      <c r="G67" s="42" t="s">
        <v>1937</v>
      </c>
    </row>
    <row r="68" spans="1:6" ht="13.5" thickTop="1">
      <c r="A68" s="82" t="s">
        <v>351</v>
      </c>
      <c r="D68" s="51"/>
      <c r="E68" s="51"/>
      <c r="F68" s="69"/>
    </row>
    <row r="69" spans="1:6" ht="12.75">
      <c r="A69" s="3" t="s">
        <v>1636</v>
      </c>
      <c r="B69" s="4" t="str">
        <f>VLOOKUP(A69,Insumos,2)</f>
        <v>cuadrilla tipo UOCRA</v>
      </c>
      <c r="C69" s="6" t="str">
        <f>VLOOKUP(A69,Insumos,3)</f>
        <v>h</v>
      </c>
      <c r="D69" s="51">
        <v>0.064</v>
      </c>
      <c r="E69" s="51">
        <f>VLOOKUP(A69,Insumos,4)</f>
        <v>58.06</v>
      </c>
      <c r="F69" s="69">
        <f>(D69*E69)</f>
        <v>3.71584</v>
      </c>
    </row>
    <row r="70" spans="1:6" ht="12.75">
      <c r="A70" s="82" t="s">
        <v>352</v>
      </c>
      <c r="D70" s="51"/>
      <c r="E70" s="51"/>
      <c r="F70" s="69"/>
    </row>
    <row r="71" spans="1:6" ht="12.75">
      <c r="A71" s="3" t="s">
        <v>1637</v>
      </c>
      <c r="B71" s="4" t="str">
        <f>VLOOKUP(A71,Insumos,2)</f>
        <v>canasta 1 (camión volcador)</v>
      </c>
      <c r="C71" s="6" t="str">
        <f>VLOOKUP(A71,Insumos,3)</f>
        <v>h</v>
      </c>
      <c r="D71" s="51">
        <v>0.01</v>
      </c>
      <c r="E71" s="51">
        <f>VLOOKUP(A71,Insumos,4)</f>
        <v>501.17</v>
      </c>
      <c r="F71" s="69">
        <f>(D71*E71)</f>
        <v>5.0117</v>
      </c>
    </row>
    <row r="72" ht="13.5" thickBot="1"/>
    <row r="73" spans="1:7" ht="13.5" thickTop="1">
      <c r="A73" s="75" t="s">
        <v>346</v>
      </c>
      <c r="B73" s="221" t="s">
        <v>327</v>
      </c>
      <c r="C73" s="77" t="str">
        <f>Fecha</f>
        <v>abr-2014</v>
      </c>
      <c r="D73" s="48"/>
      <c r="E73" s="48"/>
      <c r="F73" s="222">
        <f>SUM(F76:F79)</f>
        <v>5510.6720000000005</v>
      </c>
      <c r="G73" s="41"/>
    </row>
    <row r="74" spans="1:7" ht="13.5" thickBot="1">
      <c r="A74" s="7" t="s">
        <v>345</v>
      </c>
      <c r="B74" s="7" t="s">
        <v>1783</v>
      </c>
      <c r="C74" s="78" t="s">
        <v>344</v>
      </c>
      <c r="D74" s="49" t="s">
        <v>333</v>
      </c>
      <c r="E74" s="50"/>
      <c r="F74" s="68"/>
      <c r="G74" s="42" t="s">
        <v>178</v>
      </c>
    </row>
    <row r="75" spans="1:6" ht="13.5" thickTop="1">
      <c r="A75" s="82" t="s">
        <v>350</v>
      </c>
      <c r="D75" s="51"/>
      <c r="E75" s="51"/>
      <c r="F75" s="69"/>
    </row>
    <row r="76" spans="1:6" ht="12.75">
      <c r="A76" s="3" t="s">
        <v>334</v>
      </c>
      <c r="B76" s="4" t="str">
        <f>VLOOKUP(A76,Insumos,2)</f>
        <v>derechos de aprobación C.Profes.</v>
      </c>
      <c r="C76" s="6" t="str">
        <f>VLOOKUP(A76,Insumos,3)</f>
        <v>u</v>
      </c>
      <c r="D76" s="51">
        <v>1.9056</v>
      </c>
      <c r="E76" s="51">
        <f>VLOOKUP(A76,Insumos,4)</f>
        <v>120</v>
      </c>
      <c r="F76" s="69">
        <f>(D76*E76)</f>
        <v>228.672</v>
      </c>
    </row>
    <row r="77" spans="1:6" ht="12.75">
      <c r="A77" s="3" t="s">
        <v>335</v>
      </c>
      <c r="B77" s="4" t="str">
        <f>VLOOKUP(A77,Insumos,2)</f>
        <v>copia xerox de planos </v>
      </c>
      <c r="C77" s="6" t="str">
        <f>VLOOKUP(A77,Insumos,3)</f>
        <v>m2</v>
      </c>
      <c r="D77" s="51">
        <v>36</v>
      </c>
      <c r="E77" s="51">
        <f>VLOOKUP(A77,Insumos,4)</f>
        <v>17.7</v>
      </c>
      <c r="F77" s="69">
        <f>(D77*E77)</f>
        <v>637.1999999999999</v>
      </c>
    </row>
    <row r="78" spans="1:6" ht="12.75">
      <c r="A78" s="82" t="s">
        <v>351</v>
      </c>
      <c r="D78" s="51"/>
      <c r="E78" s="51"/>
      <c r="F78" s="69"/>
    </row>
    <row r="79" spans="1:6" ht="12.75">
      <c r="A79" s="3" t="s">
        <v>1636</v>
      </c>
      <c r="B79" s="4" t="str">
        <f>VLOOKUP(A79,Insumos,2)</f>
        <v>cuadrilla tipo UOCRA</v>
      </c>
      <c r="C79" s="6" t="str">
        <f>VLOOKUP(A79,Insumos,3)</f>
        <v>h</v>
      </c>
      <c r="D79" s="51">
        <v>80</v>
      </c>
      <c r="E79" s="51">
        <f>VLOOKUP(A79,Insumos,4)</f>
        <v>58.06</v>
      </c>
      <c r="F79" s="69">
        <f>(D79*E79)</f>
        <v>4644.8</v>
      </c>
    </row>
    <row r="80" spans="1:6" ht="13.5" thickBot="1">
      <c r="A80" s="3"/>
      <c r="B80" s="4"/>
      <c r="C80" s="6"/>
      <c r="D80" s="51"/>
      <c r="E80" s="51"/>
      <c r="F80" s="69"/>
    </row>
    <row r="81" spans="1:7" ht="13.5" thickTop="1">
      <c r="A81" s="75" t="s">
        <v>346</v>
      </c>
      <c r="B81" s="221" t="s">
        <v>331</v>
      </c>
      <c r="C81" s="77" t="str">
        <f>Fecha</f>
        <v>abr-2014</v>
      </c>
      <c r="D81" s="48"/>
      <c r="E81" s="48"/>
      <c r="F81" s="222">
        <f>SUM(F84:F90)</f>
        <v>998.39745</v>
      </c>
      <c r="G81" s="41"/>
    </row>
    <row r="82" spans="1:7" ht="13.5" thickBot="1">
      <c r="A82" s="7" t="s">
        <v>345</v>
      </c>
      <c r="B82" s="7" t="s">
        <v>1783</v>
      </c>
      <c r="C82" s="78" t="s">
        <v>344</v>
      </c>
      <c r="D82" s="49" t="s">
        <v>374</v>
      </c>
      <c r="E82" s="50"/>
      <c r="F82" s="68"/>
      <c r="G82" s="42" t="s">
        <v>1984</v>
      </c>
    </row>
    <row r="83" spans="1:6" ht="13.5" thickTop="1">
      <c r="A83" s="82" t="s">
        <v>350</v>
      </c>
      <c r="D83" s="51"/>
      <c r="E83" s="51"/>
      <c r="F83" s="69"/>
    </row>
    <row r="84" spans="1:6" ht="12.75">
      <c r="A84" s="3" t="s">
        <v>1639</v>
      </c>
      <c r="B84" s="4" t="str">
        <f>VLOOKUP(A84,Insumos,2)</f>
        <v>cemento Portland</v>
      </c>
      <c r="C84" s="6" t="str">
        <f>VLOOKUP(A84,Insumos,3)</f>
        <v>kg</v>
      </c>
      <c r="D84" s="51">
        <v>350</v>
      </c>
      <c r="E84" s="51">
        <f>VLOOKUP(A84,Insumos,4)</f>
        <v>1.65</v>
      </c>
      <c r="F84" s="69">
        <f>(D84*E84)</f>
        <v>577.5</v>
      </c>
    </row>
    <row r="85" spans="1:6" ht="12.75">
      <c r="A85" s="3" t="s">
        <v>1641</v>
      </c>
      <c r="B85" s="4" t="str">
        <f>VLOOKUP(A85,Insumos,2)</f>
        <v>arena gruesa</v>
      </c>
      <c r="C85" s="6" t="str">
        <f>VLOOKUP(A85,Insumos,3)</f>
        <v>m3</v>
      </c>
      <c r="D85" s="51">
        <v>0.65</v>
      </c>
      <c r="E85" s="51">
        <f>VLOOKUP(A85,Insumos,4)</f>
        <v>141.805</v>
      </c>
      <c r="F85" s="69">
        <f>(D85*E85)</f>
        <v>92.17325000000001</v>
      </c>
    </row>
    <row r="86" spans="1:6" ht="12.75">
      <c r="A86" s="3" t="s">
        <v>1640</v>
      </c>
      <c r="B86" s="4" t="str">
        <f>VLOOKUP(A86,Insumos,2)</f>
        <v>ripio zarandeado 1/3</v>
      </c>
      <c r="C86" s="6" t="str">
        <f>VLOOKUP(A86,Insumos,3)</f>
        <v>m3</v>
      </c>
      <c r="D86" s="51">
        <v>0.65</v>
      </c>
      <c r="E86" s="51">
        <f>VLOOKUP(A86,Insumos,4)</f>
        <v>126.06</v>
      </c>
      <c r="F86" s="69">
        <f>(D86*E86)</f>
        <v>81.93900000000001</v>
      </c>
    </row>
    <row r="87" spans="1:6" ht="12.75">
      <c r="A87" s="82" t="s">
        <v>351</v>
      </c>
      <c r="D87" s="51"/>
      <c r="E87" s="51"/>
      <c r="F87" s="69"/>
    </row>
    <row r="88" spans="1:6" ht="12.75">
      <c r="A88" s="3" t="s">
        <v>1636</v>
      </c>
      <c r="B88" s="4" t="str">
        <f>VLOOKUP(A88,Insumos,2)</f>
        <v>cuadrilla tipo UOCRA</v>
      </c>
      <c r="C88" s="6" t="str">
        <f>VLOOKUP(A88,Insumos,3)</f>
        <v>h</v>
      </c>
      <c r="D88" s="51">
        <v>4</v>
      </c>
      <c r="E88" s="51">
        <f>VLOOKUP(A88,Insumos,4)</f>
        <v>58.06</v>
      </c>
      <c r="F88" s="69">
        <f>(D88*E88)</f>
        <v>232.24</v>
      </c>
    </row>
    <row r="89" spans="1:6" ht="12.75">
      <c r="A89" s="84" t="s">
        <v>352</v>
      </c>
      <c r="B89" s="4"/>
      <c r="C89" s="6"/>
      <c r="D89" s="51"/>
      <c r="E89" s="51"/>
      <c r="F89" s="69"/>
    </row>
    <row r="90" spans="1:6" ht="12.75">
      <c r="A90" s="3" t="s">
        <v>1642</v>
      </c>
      <c r="B90" s="4" t="str">
        <f>VLOOKUP(A90,Insumos,2)</f>
        <v>canasta 2 (mixer 5m3)</v>
      </c>
      <c r="C90" s="6" t="str">
        <f>VLOOKUP(A90,Insumos,3)</f>
        <v>h</v>
      </c>
      <c r="D90" s="51">
        <v>0.02</v>
      </c>
      <c r="E90" s="51">
        <f>VLOOKUP(A90,Insumos,4)</f>
        <v>727.26</v>
      </c>
      <c r="F90" s="69">
        <f>(D90*E90)</f>
        <v>14.5452</v>
      </c>
    </row>
    <row r="91" ht="13.5" thickBot="1"/>
    <row r="92" spans="1:7" ht="13.5" thickTop="1">
      <c r="A92" s="75" t="s">
        <v>346</v>
      </c>
      <c r="B92" s="221" t="s">
        <v>362</v>
      </c>
      <c r="C92" s="77" t="str">
        <f>Fecha</f>
        <v>abr-2014</v>
      </c>
      <c r="D92" s="48"/>
      <c r="E92" s="48"/>
      <c r="F92" s="222">
        <f>SUM(F95:F99)</f>
        <v>3030.6963</v>
      </c>
      <c r="G92" s="41"/>
    </row>
    <row r="93" spans="1:7" ht="13.5" thickBot="1">
      <c r="A93" s="7" t="s">
        <v>345</v>
      </c>
      <c r="B93" s="7" t="s">
        <v>1783</v>
      </c>
      <c r="C93" s="78" t="s">
        <v>344</v>
      </c>
      <c r="D93" s="49" t="s">
        <v>363</v>
      </c>
      <c r="E93" s="50"/>
      <c r="F93" s="68"/>
      <c r="G93" s="42" t="s">
        <v>347</v>
      </c>
    </row>
    <row r="94" spans="1:6" ht="13.5" thickTop="1">
      <c r="A94" s="82" t="s">
        <v>350</v>
      </c>
      <c r="D94" s="51"/>
      <c r="E94" s="51"/>
      <c r="F94" s="69"/>
    </row>
    <row r="95" spans="1:6" ht="12.75">
      <c r="A95" s="3" t="s">
        <v>364</v>
      </c>
      <c r="B95" s="4" t="str">
        <f>VLOOKUP(A95,Insumos,2)</f>
        <v>matafuegos 5 kg tipo ABC</v>
      </c>
      <c r="C95" s="6" t="str">
        <f>VLOOKUP(A95,Insumos,3)</f>
        <v>u</v>
      </c>
      <c r="D95" s="51">
        <v>4</v>
      </c>
      <c r="E95" s="51">
        <f>VLOOKUP(A95,Insumos,4)</f>
        <v>742.25</v>
      </c>
      <c r="F95" s="69">
        <f>(D95*E95)</f>
        <v>2969</v>
      </c>
    </row>
    <row r="96" spans="1:6" ht="12.75">
      <c r="A96" s="82" t="s">
        <v>351</v>
      </c>
      <c r="D96" s="51"/>
      <c r="E96" s="51"/>
      <c r="F96" s="69"/>
    </row>
    <row r="97" spans="1:6" ht="12.75">
      <c r="A97" s="3" t="s">
        <v>1636</v>
      </c>
      <c r="B97" s="4" t="str">
        <f>VLOOKUP(A97,Insumos,2)</f>
        <v>cuadrilla tipo UOCRA</v>
      </c>
      <c r="C97" s="6" t="str">
        <f>VLOOKUP(A97,Insumos,3)</f>
        <v>h</v>
      </c>
      <c r="D97" s="51">
        <v>1</v>
      </c>
      <c r="E97" s="51">
        <f>VLOOKUP(A97,Insumos,4)</f>
        <v>58.06</v>
      </c>
      <c r="F97" s="69">
        <f>(D97*E97)</f>
        <v>58.06</v>
      </c>
    </row>
    <row r="98" spans="1:6" ht="12.75">
      <c r="A98" s="84" t="s">
        <v>352</v>
      </c>
      <c r="B98" s="4"/>
      <c r="C98" s="6"/>
      <c r="D98" s="51"/>
      <c r="E98" s="51"/>
      <c r="F98" s="69"/>
    </row>
    <row r="99" spans="1:6" ht="12.75">
      <c r="A99" s="3" t="s">
        <v>1642</v>
      </c>
      <c r="B99" s="4" t="str">
        <f>VLOOKUP(A99,Insumos,2)</f>
        <v>canasta 2 (mixer 5m3)</v>
      </c>
      <c r="C99" s="6" t="str">
        <f>VLOOKUP(A99,Insumos,3)</f>
        <v>h</v>
      </c>
      <c r="D99" s="51">
        <v>0.005</v>
      </c>
      <c r="E99" s="51">
        <f>VLOOKUP(A99,Insumos,4)</f>
        <v>727.26</v>
      </c>
      <c r="F99" s="69">
        <f>(D99*E99)</f>
        <v>3.6363</v>
      </c>
    </row>
    <row r="100" ht="13.5" thickBot="1"/>
    <row r="101" spans="1:7" ht="13.5" thickTop="1">
      <c r="A101" s="75" t="s">
        <v>346</v>
      </c>
      <c r="B101" s="221" t="s">
        <v>384</v>
      </c>
      <c r="C101" s="77" t="str">
        <f>Fecha</f>
        <v>abr-2014</v>
      </c>
      <c r="D101" s="48"/>
      <c r="E101" s="48"/>
      <c r="F101" s="222">
        <f>SUM(F104:F109)</f>
        <v>2223.5369</v>
      </c>
      <c r="G101" s="41"/>
    </row>
    <row r="102" spans="1:7" ht="13.5" thickBot="1">
      <c r="A102" s="7" t="s">
        <v>345</v>
      </c>
      <c r="B102" s="7" t="s">
        <v>1783</v>
      </c>
      <c r="C102" s="78" t="s">
        <v>344</v>
      </c>
      <c r="D102" s="49" t="s">
        <v>386</v>
      </c>
      <c r="E102" s="50"/>
      <c r="F102" s="68"/>
      <c r="G102" s="42" t="s">
        <v>347</v>
      </c>
    </row>
    <row r="103" spans="1:6" ht="13.5" thickTop="1">
      <c r="A103" s="82" t="s">
        <v>350</v>
      </c>
      <c r="D103" s="51"/>
      <c r="E103" s="51"/>
      <c r="F103" s="69"/>
    </row>
    <row r="104" spans="1:6" ht="12.75">
      <c r="A104" s="232" t="s">
        <v>914</v>
      </c>
      <c r="B104" s="4" t="str">
        <f>VLOOKUP(A104,'IN-04-14'!$A$5:$D$441,2)</f>
        <v>bacha simple acero inox. 52 x 32x18</v>
      </c>
      <c r="C104" s="4" t="str">
        <f>VLOOKUP(A104,'IN-04-14'!$A$5:$D$441,3)</f>
        <v>u</v>
      </c>
      <c r="D104" s="51">
        <v>1</v>
      </c>
      <c r="E104" s="51">
        <f>VLOOKUP(A104,Insumos,4)</f>
        <v>441.2925</v>
      </c>
      <c r="F104" s="69">
        <f>(D104*E104)</f>
        <v>441.2925</v>
      </c>
    </row>
    <row r="105" spans="1:6" ht="12.75">
      <c r="A105" s="3" t="s">
        <v>387</v>
      </c>
      <c r="B105" s="4" t="str">
        <f>VLOOKUP(A105,'IN-04-14'!$A$5:$D$441,2)</f>
        <v>mesada granito natural nacional  e=2cm.</v>
      </c>
      <c r="C105" s="4" t="str">
        <f>VLOOKUP(A105,'IN-04-14'!$A$5:$D$441,3)</f>
        <v>m2</v>
      </c>
      <c r="D105" s="51">
        <v>1.2</v>
      </c>
      <c r="E105" s="51">
        <f>VLOOKUP(A105,Insumos,4)</f>
        <v>1233.56</v>
      </c>
      <c r="F105" s="69">
        <f>(D105*E105)</f>
        <v>1480.272</v>
      </c>
    </row>
    <row r="106" spans="1:6" ht="12.75">
      <c r="A106" s="82" t="s">
        <v>351</v>
      </c>
      <c r="D106" s="51"/>
      <c r="E106" s="51"/>
      <c r="F106" s="69"/>
    </row>
    <row r="107" spans="1:6" ht="12.75">
      <c r="A107" s="3" t="s">
        <v>1636</v>
      </c>
      <c r="B107" s="4" t="str">
        <f>VLOOKUP(A107,Insumos,2)</f>
        <v>cuadrilla tipo UOCRA</v>
      </c>
      <c r="C107" s="6" t="str">
        <f>VLOOKUP(A107,Insumos,3)</f>
        <v>h</v>
      </c>
      <c r="D107" s="51">
        <f>2.7+2</f>
        <v>4.7</v>
      </c>
      <c r="E107" s="51">
        <f>VLOOKUP(A107,Insumos,4)</f>
        <v>58.06</v>
      </c>
      <c r="F107" s="69">
        <f>(D107*E107)</f>
        <v>272.882</v>
      </c>
    </row>
    <row r="108" spans="1:6" ht="12.75">
      <c r="A108" s="84" t="s">
        <v>352</v>
      </c>
      <c r="B108" s="4"/>
      <c r="C108" s="6"/>
      <c r="D108" s="51"/>
      <c r="E108" s="51"/>
      <c r="F108" s="69"/>
    </row>
    <row r="109" spans="1:6" ht="12.75">
      <c r="A109" s="3" t="s">
        <v>1642</v>
      </c>
      <c r="B109" s="4" t="str">
        <f>VLOOKUP(A109,Insumos,2)</f>
        <v>canasta 2 (mixer 5m3)</v>
      </c>
      <c r="C109" s="6" t="str">
        <f>VLOOKUP(A109,Insumos,3)</f>
        <v>h</v>
      </c>
      <c r="D109" s="51">
        <v>0.04</v>
      </c>
      <c r="E109" s="51">
        <f>VLOOKUP(A109,Insumos,4)</f>
        <v>727.26</v>
      </c>
      <c r="F109" s="69">
        <f>(D109*E109)</f>
        <v>29.0904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6"/>
  </sheetPr>
  <dimension ref="A1:H44"/>
  <sheetViews>
    <sheetView showGridLines="0" zoomScale="90" zoomScaleNormal="90" zoomScaleSheetLayoutView="75" zoomScalePageLayoutView="0" workbookViewId="0" topLeftCell="A1">
      <selection activeCell="F20" sqref="F2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221" t="s">
        <v>1792</v>
      </c>
      <c r="C2" s="77" t="str">
        <f>Fecha</f>
        <v>abr-2014</v>
      </c>
      <c r="D2" s="48"/>
      <c r="E2" s="48"/>
      <c r="F2" s="222">
        <f>SUM(F4:F16)</f>
        <v>243.6999417</v>
      </c>
      <c r="G2" s="41"/>
    </row>
    <row r="3" spans="1:7" ht="13.5" thickBot="1">
      <c r="A3" s="7" t="s">
        <v>345</v>
      </c>
      <c r="B3" s="7" t="s">
        <v>1791</v>
      </c>
      <c r="C3" s="78" t="s">
        <v>344</v>
      </c>
      <c r="D3" s="49" t="s">
        <v>193</v>
      </c>
      <c r="E3" s="50"/>
      <c r="F3" s="68"/>
      <c r="G3" s="42" t="s">
        <v>1810</v>
      </c>
    </row>
    <row r="4" spans="1:7" ht="13.5" thickTop="1">
      <c r="A4" s="83" t="s">
        <v>350</v>
      </c>
      <c r="B4" s="9"/>
      <c r="C4" s="10"/>
      <c r="D4" s="56"/>
      <c r="E4" s="56"/>
      <c r="F4" s="72"/>
      <c r="G4" s="10"/>
    </row>
    <row r="5" spans="1:7" ht="12.75">
      <c r="A5" s="11" t="s">
        <v>155</v>
      </c>
      <c r="B5" s="4" t="str">
        <f>VLOOKUP(A5,Insumos,2)</f>
        <v>caño Pead Agua 63mm</v>
      </c>
      <c r="C5" s="6" t="str">
        <f>VLOOKUP(A5,Insumos,3)</f>
        <v>m</v>
      </c>
      <c r="D5" s="56">
        <v>3.954</v>
      </c>
      <c r="E5" s="51">
        <f>VLOOKUP(A5,'IN-04-14'!A6:D880,4)</f>
        <v>26.2382</v>
      </c>
      <c r="F5" s="72">
        <f aca="true" t="shared" si="0" ref="F5:F12">(D5*E5)</f>
        <v>103.7458428</v>
      </c>
      <c r="G5" s="10"/>
    </row>
    <row r="6" spans="1:7" ht="12.75">
      <c r="A6" s="11" t="s">
        <v>157</v>
      </c>
      <c r="B6" s="4" t="str">
        <f aca="true" t="shared" si="1" ref="B6:B12">VLOOKUP(A6,Insumos,2)</f>
        <v>cupla Pead Agua 63mm</v>
      </c>
      <c r="C6" s="6" t="str">
        <f>VLOOKUP(A6,Insumos,3)</f>
        <v>u</v>
      </c>
      <c r="D6" s="56">
        <v>0.142</v>
      </c>
      <c r="E6" s="51">
        <f>VLOOKUP(A6,'IN-04-14'!A7:D881,4)</f>
        <v>47.8239</v>
      </c>
      <c r="F6" s="72">
        <f t="shared" si="0"/>
        <v>6.7909938</v>
      </c>
      <c r="G6" s="10"/>
    </row>
    <row r="7" spans="1:7" ht="12.75">
      <c r="A7" s="11" t="s">
        <v>163</v>
      </c>
      <c r="B7" s="4" t="str">
        <f t="shared" si="1"/>
        <v>válvula esclusa doble brida H°D° 63mm</v>
      </c>
      <c r="C7" s="6" t="str">
        <f aca="true" t="shared" si="2" ref="C7:C12">VLOOKUP(A7,Insumos,3)</f>
        <v>u</v>
      </c>
      <c r="D7" s="56">
        <v>0.01</v>
      </c>
      <c r="E7" s="51">
        <f>VLOOKUP(A7,'IN-04-14'!A8:D882,4)</f>
        <v>1507.17</v>
      </c>
      <c r="F7" s="72">
        <f t="shared" si="0"/>
        <v>15.071700000000002</v>
      </c>
      <c r="G7" s="10"/>
    </row>
    <row r="8" spans="1:7" ht="12.75">
      <c r="A8" s="11" t="s">
        <v>153</v>
      </c>
      <c r="B8" s="4" t="str">
        <f t="shared" si="1"/>
        <v>caño Pead Agua20mm</v>
      </c>
      <c r="C8" s="6" t="str">
        <f t="shared" si="2"/>
        <v>m</v>
      </c>
      <c r="D8" s="56">
        <v>2.2</v>
      </c>
      <c r="E8" s="51">
        <f>VLOOKUP(A8,'IN-04-14'!A9:D883,4)</f>
        <v>6.4167</v>
      </c>
      <c r="F8" s="72">
        <f t="shared" si="0"/>
        <v>14.11674</v>
      </c>
      <c r="G8" s="10"/>
    </row>
    <row r="9" spans="1:7" ht="12.75">
      <c r="A9" s="11" t="s">
        <v>198</v>
      </c>
      <c r="B9" s="4" t="str">
        <f t="shared" si="1"/>
        <v>abrazadera diámetro 63mm con racord de 1/2"</v>
      </c>
      <c r="C9" s="6" t="str">
        <f t="shared" si="2"/>
        <v>u</v>
      </c>
      <c r="D9" s="56">
        <v>0.007</v>
      </c>
      <c r="E9" s="51">
        <f>VLOOKUP(A9,'IN-04-14'!A10:D884,4)</f>
        <v>134.74</v>
      </c>
      <c r="F9" s="72">
        <f t="shared" si="0"/>
        <v>0.9431800000000001</v>
      </c>
      <c r="G9" s="10"/>
    </row>
    <row r="10" spans="1:7" ht="12.75">
      <c r="A10" s="11" t="s">
        <v>1639</v>
      </c>
      <c r="B10" s="4" t="str">
        <f t="shared" si="1"/>
        <v>cemento Portland</v>
      </c>
      <c r="C10" s="6" t="str">
        <f t="shared" si="2"/>
        <v>kg</v>
      </c>
      <c r="D10" s="56">
        <v>1.089</v>
      </c>
      <c r="E10" s="51">
        <f>VLOOKUP(A10,'IN-04-14'!A11:D885,4)</f>
        <v>1.65</v>
      </c>
      <c r="F10" s="72">
        <f t="shared" si="0"/>
        <v>1.7968499999999998</v>
      </c>
      <c r="G10" s="10"/>
    </row>
    <row r="11" spans="1:7" ht="12.75">
      <c r="A11" s="11" t="s">
        <v>1911</v>
      </c>
      <c r="B11" s="4" t="str">
        <f t="shared" si="1"/>
        <v>arena mediana</v>
      </c>
      <c r="C11" s="6" t="str">
        <f t="shared" si="2"/>
        <v>m3</v>
      </c>
      <c r="D11" s="56">
        <v>0.007</v>
      </c>
      <c r="E11" s="51">
        <f>VLOOKUP(A11,'IN-04-14'!A12:D886,4)</f>
        <v>155.9867</v>
      </c>
      <c r="F11" s="72">
        <f t="shared" si="0"/>
        <v>1.0919069000000001</v>
      </c>
      <c r="G11" s="10"/>
    </row>
    <row r="12" spans="1:7" ht="12.75">
      <c r="A12" s="11" t="s">
        <v>1638</v>
      </c>
      <c r="B12" s="4" t="str">
        <f t="shared" si="1"/>
        <v>hierro mejorado de 10 mm.</v>
      </c>
      <c r="C12" s="6" t="str">
        <f t="shared" si="2"/>
        <v>kg</v>
      </c>
      <c r="D12" s="56">
        <v>0.054</v>
      </c>
      <c r="E12" s="51">
        <f>VLOOKUP(A12,'IN-04-14'!A7:D887,4)</f>
        <v>9.3933</v>
      </c>
      <c r="F12" s="72">
        <f t="shared" si="0"/>
        <v>0.5072382</v>
      </c>
      <c r="G12" s="10"/>
    </row>
    <row r="13" spans="1:7" ht="12.75">
      <c r="A13" s="83" t="s">
        <v>351</v>
      </c>
      <c r="B13" s="9"/>
      <c r="C13" s="10"/>
      <c r="D13" s="56"/>
      <c r="E13" s="51"/>
      <c r="F13" s="72"/>
      <c r="G13" s="10"/>
    </row>
    <row r="14" spans="1:7" ht="12.75">
      <c r="A14" s="11" t="s">
        <v>1668</v>
      </c>
      <c r="B14" s="4" t="str">
        <f>VLOOKUP(A14,Insumos,2)</f>
        <v>cuadrilla tipo U.G.A.T.S.</v>
      </c>
      <c r="C14" s="6" t="str">
        <f>VLOOKUP(A14,Insumos,3)</f>
        <v>h</v>
      </c>
      <c r="D14" s="56">
        <v>0.893</v>
      </c>
      <c r="E14" s="51">
        <f>VLOOKUP(A14,'IN-04-14'!A15:D889,4)</f>
        <v>67.43</v>
      </c>
      <c r="F14" s="72">
        <f>(D14*E14)</f>
        <v>60.21499000000001</v>
      </c>
      <c r="G14" s="10"/>
    </row>
    <row r="15" spans="1:7" ht="12.75">
      <c r="A15" s="83" t="s">
        <v>352</v>
      </c>
      <c r="B15" s="4"/>
      <c r="C15" s="10"/>
      <c r="D15" s="56"/>
      <c r="E15" s="51"/>
      <c r="F15" s="72"/>
      <c r="G15" s="10"/>
    </row>
    <row r="16" spans="1:7" ht="12.75">
      <c r="A16" s="11" t="s">
        <v>1956</v>
      </c>
      <c r="B16" s="4" t="str">
        <f>VLOOKUP(A16,Insumos,2)</f>
        <v>canasta 3 (retroexcavadora 87 HP)</v>
      </c>
      <c r="C16" s="6" t="str">
        <f>VLOOKUP(A16,Insumos,3)</f>
        <v>h</v>
      </c>
      <c r="D16" s="56">
        <v>0.098</v>
      </c>
      <c r="E16" s="51">
        <f>VLOOKUP(A16,'IN-04-14'!A17:D891,4)</f>
        <v>402.25</v>
      </c>
      <c r="F16" s="72">
        <f>(D16*E16)</f>
        <v>39.420500000000004</v>
      </c>
      <c r="G16" s="10"/>
    </row>
    <row r="17" spans="1:6" ht="13.5" thickBot="1">
      <c r="A17" s="3"/>
      <c r="B17" s="4"/>
      <c r="C17" s="6"/>
      <c r="D17" s="51"/>
      <c r="E17" s="51"/>
      <c r="F17" s="69"/>
    </row>
    <row r="18" spans="1:7" ht="13.5" thickTop="1">
      <c r="A18" s="75" t="s">
        <v>346</v>
      </c>
      <c r="B18" s="221" t="s">
        <v>1793</v>
      </c>
      <c r="C18" s="77" t="str">
        <f>Fecha</f>
        <v>abr-2014</v>
      </c>
      <c r="D18" s="48"/>
      <c r="E18" s="48"/>
      <c r="F18" s="222">
        <f>SUM(F20:F30)</f>
        <v>220.80273770000002</v>
      </c>
      <c r="G18" s="41"/>
    </row>
    <row r="19" spans="1:7" ht="13.5" thickBot="1">
      <c r="A19" s="7" t="s">
        <v>345</v>
      </c>
      <c r="B19" s="7" t="s">
        <v>1791</v>
      </c>
      <c r="C19" s="78" t="s">
        <v>344</v>
      </c>
      <c r="D19" s="49" t="s">
        <v>30</v>
      </c>
      <c r="E19" s="50"/>
      <c r="F19" s="68"/>
      <c r="G19" s="42" t="s">
        <v>1810</v>
      </c>
    </row>
    <row r="20" spans="1:7" ht="13.5" thickTop="1">
      <c r="A20" s="83" t="s">
        <v>350</v>
      </c>
      <c r="B20" s="9"/>
      <c r="C20" s="10"/>
      <c r="D20" s="56"/>
      <c r="E20" s="56"/>
      <c r="F20" s="72"/>
      <c r="G20" s="10"/>
    </row>
    <row r="21" spans="1:7" ht="12.75">
      <c r="A21" s="11" t="s">
        <v>155</v>
      </c>
      <c r="B21" s="4" t="str">
        <f aca="true" t="shared" si="3" ref="B21:B26">VLOOKUP(A21,Insumos,2)</f>
        <v>caño Pead Agua 63mm</v>
      </c>
      <c r="C21" s="6" t="str">
        <f aca="true" t="shared" si="4" ref="C21:C26">VLOOKUP(A21,Insumos,3)</f>
        <v>m</v>
      </c>
      <c r="D21" s="56">
        <v>3.954</v>
      </c>
      <c r="E21" s="51">
        <f>VLOOKUP(A21,'IN-04-14'!A22:D896,4)</f>
        <v>26.2382</v>
      </c>
      <c r="F21" s="72">
        <f aca="true" t="shared" si="5" ref="F21:F26">(D21*E21)</f>
        <v>103.7458428</v>
      </c>
      <c r="G21" s="10"/>
    </row>
    <row r="22" spans="1:7" ht="12.75">
      <c r="A22" s="11" t="s">
        <v>157</v>
      </c>
      <c r="B22" s="4" t="str">
        <f t="shared" si="3"/>
        <v>cupla Pead Agua 63mm</v>
      </c>
      <c r="C22" s="6" t="str">
        <f t="shared" si="4"/>
        <v>u</v>
      </c>
      <c r="D22" s="56">
        <v>0.142</v>
      </c>
      <c r="E22" s="51">
        <f>VLOOKUP(A22,'IN-04-14'!A23:D897,4)</f>
        <v>47.8239</v>
      </c>
      <c r="F22" s="72">
        <f t="shared" si="5"/>
        <v>6.7909938</v>
      </c>
      <c r="G22" s="10"/>
    </row>
    <row r="23" spans="1:7" ht="12.75">
      <c r="A23" s="11" t="s">
        <v>163</v>
      </c>
      <c r="B23" s="4" t="str">
        <f t="shared" si="3"/>
        <v>válvula esclusa doble brida H°D° 63mm</v>
      </c>
      <c r="C23" s="6" t="str">
        <f t="shared" si="4"/>
        <v>u</v>
      </c>
      <c r="D23" s="56">
        <v>0.0048</v>
      </c>
      <c r="E23" s="51">
        <f>VLOOKUP(A23,'IN-04-14'!A24:D898,4)</f>
        <v>1507.17</v>
      </c>
      <c r="F23" s="72">
        <f t="shared" si="5"/>
        <v>7.2344159999999995</v>
      </c>
      <c r="G23" s="10"/>
    </row>
    <row r="24" spans="1:7" ht="12.75">
      <c r="A24" s="11" t="s">
        <v>1639</v>
      </c>
      <c r="B24" s="4" t="str">
        <f t="shared" si="3"/>
        <v>cemento Portland</v>
      </c>
      <c r="C24" s="6" t="str">
        <f t="shared" si="4"/>
        <v>kg</v>
      </c>
      <c r="D24" s="56">
        <v>1.089</v>
      </c>
      <c r="E24" s="51">
        <f>VLOOKUP(A24,'IN-04-14'!A25:D899,4)</f>
        <v>1.65</v>
      </c>
      <c r="F24" s="72">
        <f t="shared" si="5"/>
        <v>1.7968499999999998</v>
      </c>
      <c r="G24" s="10"/>
    </row>
    <row r="25" spans="1:7" ht="12.75">
      <c r="A25" s="11" t="s">
        <v>1911</v>
      </c>
      <c r="B25" s="4" t="str">
        <f t="shared" si="3"/>
        <v>arena mediana</v>
      </c>
      <c r="C25" s="6" t="str">
        <f t="shared" si="4"/>
        <v>m3</v>
      </c>
      <c r="D25" s="56">
        <v>0.007</v>
      </c>
      <c r="E25" s="51">
        <f>VLOOKUP(A25,'IN-04-14'!A26:D900,4)</f>
        <v>155.9867</v>
      </c>
      <c r="F25" s="72">
        <f t="shared" si="5"/>
        <v>1.0919069000000001</v>
      </c>
      <c r="G25" s="10"/>
    </row>
    <row r="26" spans="1:7" ht="12.75">
      <c r="A26" s="11" t="s">
        <v>1638</v>
      </c>
      <c r="B26" s="4" t="str">
        <f t="shared" si="3"/>
        <v>hierro mejorado de 10 mm.</v>
      </c>
      <c r="C26" s="6" t="str">
        <f t="shared" si="4"/>
        <v>kg</v>
      </c>
      <c r="D26" s="56">
        <v>0.054</v>
      </c>
      <c r="E26" s="51">
        <f>VLOOKUP(A26,'IN-04-14'!A7:D901,4)</f>
        <v>9.3933</v>
      </c>
      <c r="F26" s="72">
        <f t="shared" si="5"/>
        <v>0.5072382</v>
      </c>
      <c r="G26" s="10"/>
    </row>
    <row r="27" spans="1:7" ht="12.75">
      <c r="A27" s="83" t="s">
        <v>351</v>
      </c>
      <c r="B27" s="9"/>
      <c r="C27" s="10"/>
      <c r="D27" s="56"/>
      <c r="E27" s="51"/>
      <c r="F27" s="72"/>
      <c r="G27" s="10"/>
    </row>
    <row r="28" spans="1:8" ht="12.75">
      <c r="A28" s="11" t="s">
        <v>1668</v>
      </c>
      <c r="B28" s="4" t="str">
        <f>VLOOKUP(A28,Insumos,2)</f>
        <v>cuadrilla tipo U.G.A.T.S.</v>
      </c>
      <c r="C28" s="6" t="str">
        <f>VLOOKUP(A28,Insumos,3)</f>
        <v>h</v>
      </c>
      <c r="D28" s="56">
        <v>0.893</v>
      </c>
      <c r="E28" s="51">
        <f>VLOOKUP(A28,'IN-04-14'!A29:D903,4)</f>
        <v>67.43</v>
      </c>
      <c r="F28" s="72">
        <f>(D28*E28)</f>
        <v>60.21499000000001</v>
      </c>
      <c r="G28" s="10"/>
      <c r="H28" s="1" t="s">
        <v>1145</v>
      </c>
    </row>
    <row r="29" spans="1:7" ht="12.75">
      <c r="A29" s="83" t="s">
        <v>352</v>
      </c>
      <c r="B29" s="4"/>
      <c r="C29" s="10"/>
      <c r="D29" s="56"/>
      <c r="E29" s="51"/>
      <c r="F29" s="72"/>
      <c r="G29" s="10"/>
    </row>
    <row r="30" spans="1:7" ht="12.75">
      <c r="A30" s="11" t="s">
        <v>1956</v>
      </c>
      <c r="B30" s="4" t="str">
        <f>VLOOKUP(A30,Insumos,2)</f>
        <v>canasta 3 (retroexcavadora 87 HP)</v>
      </c>
      <c r="C30" s="6" t="str">
        <f>VLOOKUP(A30,Insumos,3)</f>
        <v>h</v>
      </c>
      <c r="D30" s="56">
        <v>0.098</v>
      </c>
      <c r="E30" s="51">
        <f>VLOOKUP(A30,'IN-04-14'!A31:D905,4)</f>
        <v>402.25</v>
      </c>
      <c r="F30" s="72">
        <f>(D30*E30)</f>
        <v>39.420500000000004</v>
      </c>
      <c r="G30" s="10"/>
    </row>
    <row r="31" spans="1:7" ht="13.5" thickBot="1">
      <c r="A31" s="11"/>
      <c r="B31" s="12"/>
      <c r="C31" s="13"/>
      <c r="D31" s="56"/>
      <c r="E31" s="56"/>
      <c r="F31" s="72"/>
      <c r="G31" s="10"/>
    </row>
    <row r="32" spans="1:7" ht="13.5" thickTop="1">
      <c r="A32" s="75" t="s">
        <v>346</v>
      </c>
      <c r="B32" s="221" t="s">
        <v>324</v>
      </c>
      <c r="C32" s="77" t="str">
        <f>Fecha</f>
        <v>abr-2014</v>
      </c>
      <c r="D32" s="48"/>
      <c r="E32" s="48"/>
      <c r="F32" s="222">
        <f>SUM(F34:F44)</f>
        <v>105489.99600000001</v>
      </c>
      <c r="G32" s="41"/>
    </row>
    <row r="33" spans="1:7" ht="13.5" thickBot="1">
      <c r="A33" s="7" t="s">
        <v>345</v>
      </c>
      <c r="B33" s="7" t="s">
        <v>1791</v>
      </c>
      <c r="C33" s="78" t="s">
        <v>344</v>
      </c>
      <c r="D33" s="49" t="s">
        <v>326</v>
      </c>
      <c r="E33" s="50"/>
      <c r="F33" s="68"/>
      <c r="G33" s="42" t="s">
        <v>347</v>
      </c>
    </row>
    <row r="34" spans="1:7" ht="13.5" thickTop="1">
      <c r="A34" s="83" t="s">
        <v>350</v>
      </c>
      <c r="B34" s="9"/>
      <c r="C34" s="10"/>
      <c r="D34" s="56"/>
      <c r="E34" s="56"/>
      <c r="F34" s="72"/>
      <c r="G34" s="10"/>
    </row>
    <row r="35" spans="1:7" ht="12.75">
      <c r="A35" s="11" t="s">
        <v>1316</v>
      </c>
      <c r="B35" s="4" t="str">
        <f aca="true" t="shared" si="6" ref="B35:B40">VLOOKUP(A35,Insumos,2)</f>
        <v>cuerpo motorarg CFD 675/30  30H.P.</v>
      </c>
      <c r="C35" s="6" t="str">
        <f aca="true" t="shared" si="7" ref="C35:C40">VLOOKUP(A35,Insumos,3)</f>
        <v>u</v>
      </c>
      <c r="D35" s="56">
        <v>1</v>
      </c>
      <c r="E35" s="51">
        <f>VLOOKUP(A35,'IN-04-14'!A36:D910,4)</f>
        <v>18223.14</v>
      </c>
      <c r="F35" s="72">
        <f aca="true" t="shared" si="8" ref="F35:F40">(D35*E35)</f>
        <v>18223.14</v>
      </c>
      <c r="G35" s="10"/>
    </row>
    <row r="36" spans="1:7" ht="12.75">
      <c r="A36" s="11" t="s">
        <v>211</v>
      </c>
      <c r="B36" s="4" t="str">
        <f t="shared" si="6"/>
        <v>motor motorarg S6 R4/30  30 H.P.</v>
      </c>
      <c r="C36" s="6" t="str">
        <f t="shared" si="7"/>
        <v>u</v>
      </c>
      <c r="D36" s="56">
        <v>1</v>
      </c>
      <c r="E36" s="51">
        <f>VLOOKUP(A36,'IN-04-14'!A37:D911,4)</f>
        <v>18817.19</v>
      </c>
      <c r="F36" s="72">
        <f t="shared" si="8"/>
        <v>18817.19</v>
      </c>
      <c r="G36" s="10"/>
    </row>
    <row r="37" spans="1:7" ht="12.75">
      <c r="A37" s="11" t="s">
        <v>213</v>
      </c>
      <c r="B37" s="4" t="str">
        <f t="shared" si="6"/>
        <v>arrancador suave WEG SSW-04.60 p/30H.P.</v>
      </c>
      <c r="C37" s="6" t="str">
        <f t="shared" si="7"/>
        <v>u</v>
      </c>
      <c r="D37" s="56">
        <v>1</v>
      </c>
      <c r="E37" s="51">
        <f>VLOOKUP(A37,'IN-04-14'!A38:D912,4)</f>
        <v>7968.33</v>
      </c>
      <c r="F37" s="72">
        <f t="shared" si="8"/>
        <v>7968.33</v>
      </c>
      <c r="G37" s="10"/>
    </row>
    <row r="38" spans="1:7" ht="12.75">
      <c r="A38" s="11" t="s">
        <v>215</v>
      </c>
      <c r="B38" s="4" t="str">
        <f t="shared" si="6"/>
        <v>bomba dosivac milenio 015 1.45 lts/h</v>
      </c>
      <c r="C38" s="6" t="str">
        <f t="shared" si="7"/>
        <v>u</v>
      </c>
      <c r="D38" s="56">
        <v>1</v>
      </c>
      <c r="E38" s="51">
        <f>VLOOKUP(A38,'IN-04-14'!A39:D913,4)</f>
        <v>1976.03</v>
      </c>
      <c r="F38" s="72">
        <f t="shared" si="8"/>
        <v>1976.03</v>
      </c>
      <c r="G38" s="10"/>
    </row>
    <row r="39" spans="1:7" ht="12.75">
      <c r="A39" s="11" t="s">
        <v>217</v>
      </c>
      <c r="B39" s="4" t="str">
        <f t="shared" si="6"/>
        <v>cable pirelli sintenax viper 3x35</v>
      </c>
      <c r="C39" s="6" t="str">
        <f t="shared" si="7"/>
        <v>m</v>
      </c>
      <c r="D39" s="56">
        <v>120</v>
      </c>
      <c r="E39" s="51">
        <f>VLOOKUP(A39,'IN-04-14'!A40:D914,4)</f>
        <v>205.79</v>
      </c>
      <c r="F39" s="72">
        <f t="shared" si="8"/>
        <v>24694.8</v>
      </c>
      <c r="G39" s="10"/>
    </row>
    <row r="40" spans="1:7" ht="12.75">
      <c r="A40" s="11" t="s">
        <v>219</v>
      </c>
      <c r="B40" s="4" t="str">
        <f t="shared" si="6"/>
        <v>caño H°G° RyC 4"</v>
      </c>
      <c r="C40" s="6" t="str">
        <f t="shared" si="7"/>
        <v>m</v>
      </c>
      <c r="D40" s="56">
        <f>8*6.4</f>
        <v>51.2</v>
      </c>
      <c r="E40" s="51">
        <f>VLOOKUP(A40,'IN-04-14'!A41:D915,4)</f>
        <v>494.83</v>
      </c>
      <c r="F40" s="72">
        <f t="shared" si="8"/>
        <v>25335.296000000002</v>
      </c>
      <c r="G40" s="10"/>
    </row>
    <row r="41" spans="1:7" ht="12.75">
      <c r="A41" s="83" t="s">
        <v>351</v>
      </c>
      <c r="B41" s="9"/>
      <c r="C41" s="10"/>
      <c r="D41" s="56"/>
      <c r="E41" s="51"/>
      <c r="F41" s="72"/>
      <c r="G41" s="10"/>
    </row>
    <row r="42" spans="1:7" ht="12.75">
      <c r="A42" s="11" t="s">
        <v>1668</v>
      </c>
      <c r="B42" s="4" t="str">
        <f>VLOOKUP(A42,Insumos,2)</f>
        <v>cuadrilla tipo U.G.A.T.S.</v>
      </c>
      <c r="C42" s="6" t="str">
        <f>VLOOKUP(A42,Insumos,3)</f>
        <v>h</v>
      </c>
      <c r="D42" s="56">
        <f>18*4</f>
        <v>72</v>
      </c>
      <c r="E42" s="51">
        <f>VLOOKUP(A42,'IN-04-14'!A43:D917,4)</f>
        <v>67.43</v>
      </c>
      <c r="F42" s="72">
        <f>(D42*E42)</f>
        <v>4854.960000000001</v>
      </c>
      <c r="G42" s="10"/>
    </row>
    <row r="43" spans="1:7" ht="12.75">
      <c r="A43" s="83" t="s">
        <v>352</v>
      </c>
      <c r="B43" s="4"/>
      <c r="C43" s="10"/>
      <c r="D43" s="56"/>
      <c r="E43" s="51"/>
      <c r="F43" s="72"/>
      <c r="G43" s="10"/>
    </row>
    <row r="44" spans="1:7" ht="12.75">
      <c r="A44" s="11" t="s">
        <v>1956</v>
      </c>
      <c r="B44" s="4" t="str">
        <f>VLOOKUP(A44,Insumos,2)</f>
        <v>canasta 3 (retroexcavadora 87 HP)</v>
      </c>
      <c r="C44" s="6" t="str">
        <f>VLOOKUP(A44,Insumos,3)</f>
        <v>h</v>
      </c>
      <c r="D44" s="56">
        <v>9</v>
      </c>
      <c r="E44" s="51">
        <f>VLOOKUP(A44,'IN-04-14'!A45:D919,4)</f>
        <v>402.25</v>
      </c>
      <c r="F44" s="72">
        <f>(D44*E44)</f>
        <v>3620.25</v>
      </c>
      <c r="G44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7"/>
  </sheetPr>
  <dimension ref="A1:G32"/>
  <sheetViews>
    <sheetView showGridLines="0" zoomScale="90" zoomScaleNormal="90" zoomScaleSheetLayoutView="75" zoomScalePageLayoutView="0" workbookViewId="0" topLeftCell="A1">
      <selection activeCell="A6" sqref="A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346</v>
      </c>
      <c r="B2" s="221" t="s">
        <v>1802</v>
      </c>
      <c r="C2" s="79" t="str">
        <f>Fecha</f>
        <v>abr-2014</v>
      </c>
      <c r="D2" s="53"/>
      <c r="E2" s="53"/>
      <c r="F2" s="222">
        <f>SUM(F4:F15)</f>
        <v>400.84787589999996</v>
      </c>
      <c r="G2" s="43"/>
    </row>
    <row r="3" spans="1:7" ht="13.5" thickBot="1">
      <c r="A3" s="14" t="s">
        <v>345</v>
      </c>
      <c r="B3" s="14" t="s">
        <v>1801</v>
      </c>
      <c r="C3" s="80" t="s">
        <v>344</v>
      </c>
      <c r="D3" s="54" t="s">
        <v>1897</v>
      </c>
      <c r="E3" s="55"/>
      <c r="F3" s="71"/>
      <c r="G3" s="42" t="s">
        <v>1810</v>
      </c>
    </row>
    <row r="4" spans="1:7" ht="13.5" thickTop="1">
      <c r="A4" s="83" t="s">
        <v>350</v>
      </c>
      <c r="B4" s="9"/>
      <c r="C4" s="10"/>
      <c r="D4" s="56"/>
      <c r="E4" s="56"/>
      <c r="F4" s="72"/>
      <c r="G4" s="10"/>
    </row>
    <row r="5" spans="1:7" ht="12.75">
      <c r="A5" s="249" t="s">
        <v>2026</v>
      </c>
      <c r="B5" s="4" t="str">
        <f aca="true" t="shared" si="0" ref="B5:B11">VLOOKUP(A5,Insumos,2)</f>
        <v>caño PVC Cloacal JE 160mm</v>
      </c>
      <c r="C5" s="6" t="str">
        <f aca="true" t="shared" si="1" ref="C5:C11">VLOOKUP(A5,Insumos,3)</f>
        <v>m</v>
      </c>
      <c r="D5" s="56">
        <v>1.56</v>
      </c>
      <c r="E5" s="91">
        <f>VLOOKUP(A5,'IN-04-14'!$A$5:$D$441,4)</f>
        <v>102.0977</v>
      </c>
      <c r="F5" s="72">
        <f aca="true" t="shared" si="2" ref="F5:F11">(D5*E5)</f>
        <v>159.272412</v>
      </c>
      <c r="G5" s="10"/>
    </row>
    <row r="6" spans="1:7" ht="12.75">
      <c r="A6" s="11" t="s">
        <v>1672</v>
      </c>
      <c r="B6" s="4" t="str">
        <f>VLOOKUP(A6,'IN-04-14'!$A$5:$D$441,2)</f>
        <v>caño PVC 3.2 p/desague cloacal 0.110 x 4 m.</v>
      </c>
      <c r="C6" s="4" t="str">
        <f>VLOOKUP(A6,'IN-04-14'!$A$5:$D$441,3)</f>
        <v>m</v>
      </c>
      <c r="D6" s="56">
        <v>0.7</v>
      </c>
      <c r="E6" s="91">
        <f>VLOOKUP(A6,'IN-04-14'!$A$5:$D$441,4)</f>
        <v>57.758</v>
      </c>
      <c r="F6" s="72">
        <f t="shared" si="2"/>
        <v>40.4306</v>
      </c>
      <c r="G6" s="10"/>
    </row>
    <row r="7" spans="1:7" ht="12.75">
      <c r="A7" s="11" t="s">
        <v>80</v>
      </c>
      <c r="B7" s="4" t="str">
        <f>VLOOKUP(A7,'IN-04-14'!$A$5:$D$441,2)</f>
        <v>ramal Y PVC Cloacal d=160x110mm</v>
      </c>
      <c r="C7" s="4" t="str">
        <f>VLOOKUP(A7,'IN-04-14'!$A$5:$D$441,3)</f>
        <v>u</v>
      </c>
      <c r="D7" s="56">
        <v>0.166</v>
      </c>
      <c r="E7" s="91">
        <f>VLOOKUP(A7,'IN-04-14'!$A$5:$D$441,4)</f>
        <v>183.9863</v>
      </c>
      <c r="F7" s="72">
        <f t="shared" si="2"/>
        <v>30.541725800000002</v>
      </c>
      <c r="G7" s="10"/>
    </row>
    <row r="8" spans="1:7" ht="12.75">
      <c r="A8" s="11" t="s">
        <v>151</v>
      </c>
      <c r="B8" s="4" t="str">
        <f t="shared" si="0"/>
        <v>marco y tapa H°D° 85/90Kg. Sist. Abisagrado</v>
      </c>
      <c r="C8" s="6" t="str">
        <f t="shared" si="1"/>
        <v>u</v>
      </c>
      <c r="D8" s="56">
        <v>0.01</v>
      </c>
      <c r="E8" s="51">
        <f>VLOOKUP(A8,Insumos,4)</f>
        <v>842.05</v>
      </c>
      <c r="F8" s="72">
        <f t="shared" si="2"/>
        <v>8.4205</v>
      </c>
      <c r="G8" s="10"/>
    </row>
    <row r="9" spans="1:7" ht="12.75">
      <c r="A9" s="11" t="s">
        <v>1639</v>
      </c>
      <c r="B9" s="4" t="str">
        <f t="shared" si="0"/>
        <v>cemento Portland</v>
      </c>
      <c r="C9" s="6" t="str">
        <f t="shared" si="1"/>
        <v>kg</v>
      </c>
      <c r="D9" s="56">
        <v>8.473</v>
      </c>
      <c r="E9" s="91">
        <f>VLOOKUP(A9,'IN-04-14'!$A$5:$D$441,4)</f>
        <v>1.65</v>
      </c>
      <c r="F9" s="72">
        <f t="shared" si="2"/>
        <v>13.980450000000001</v>
      </c>
      <c r="G9" s="10"/>
    </row>
    <row r="10" spans="1:7" ht="12.75">
      <c r="A10" s="11" t="s">
        <v>1651</v>
      </c>
      <c r="B10" s="4" t="str">
        <f t="shared" si="0"/>
        <v>ripiosa</v>
      </c>
      <c r="C10" s="6" t="str">
        <f t="shared" si="1"/>
        <v>m3</v>
      </c>
      <c r="D10" s="56">
        <v>0.032</v>
      </c>
      <c r="E10" s="91">
        <f>VLOOKUP(A10,'IN-04-14'!$A$5:$D$441,4)</f>
        <v>142.07</v>
      </c>
      <c r="F10" s="72">
        <f t="shared" si="2"/>
        <v>4.54624</v>
      </c>
      <c r="G10" s="10"/>
    </row>
    <row r="11" spans="1:7" ht="12.75">
      <c r="A11" s="11" t="s">
        <v>1638</v>
      </c>
      <c r="B11" s="4" t="str">
        <f t="shared" si="0"/>
        <v>hierro mejorado de 10 mm.</v>
      </c>
      <c r="C11" s="6" t="str">
        <f t="shared" si="1"/>
        <v>kg</v>
      </c>
      <c r="D11" s="56">
        <v>0.657</v>
      </c>
      <c r="E11" s="91">
        <f>VLOOKUP(A11,'IN-04-14'!$A$5:$D$441,4)</f>
        <v>9.3933</v>
      </c>
      <c r="F11" s="72">
        <f t="shared" si="2"/>
        <v>6.1713981</v>
      </c>
      <c r="G11" s="10"/>
    </row>
    <row r="12" spans="1:7" ht="12.75">
      <c r="A12" s="83" t="s">
        <v>351</v>
      </c>
      <c r="B12" s="9"/>
      <c r="C12" s="10"/>
      <c r="D12" s="56"/>
      <c r="E12" s="91"/>
      <c r="F12" s="72"/>
      <c r="G12" s="10"/>
    </row>
    <row r="13" spans="1:7" ht="12.75">
      <c r="A13" s="11" t="s">
        <v>1668</v>
      </c>
      <c r="B13" s="4" t="str">
        <f>VLOOKUP(A13,Insumos,2)</f>
        <v>cuadrilla tipo U.G.A.T.S.</v>
      </c>
      <c r="C13" s="6" t="str">
        <f>VLOOKUP(A13,Insumos,3)</f>
        <v>h</v>
      </c>
      <c r="D13" s="56">
        <v>1.335</v>
      </c>
      <c r="E13" s="91">
        <f>VLOOKUP(A13,'IN-04-14'!$A$5:$D$441,4)</f>
        <v>67.43</v>
      </c>
      <c r="F13" s="72">
        <f>(D13*E13)</f>
        <v>90.01905000000001</v>
      </c>
      <c r="G13" s="10"/>
    </row>
    <row r="14" spans="1:7" ht="12.75">
      <c r="A14" s="83" t="s">
        <v>352</v>
      </c>
      <c r="B14" s="9"/>
      <c r="C14" s="10"/>
      <c r="D14" s="56"/>
      <c r="E14" s="91"/>
      <c r="F14" s="72"/>
      <c r="G14" s="10"/>
    </row>
    <row r="15" spans="1:7" ht="12.75">
      <c r="A15" s="11" t="s">
        <v>1956</v>
      </c>
      <c r="B15" s="4" t="str">
        <f>VLOOKUP(A15,Insumos,2)</f>
        <v>canasta 3 (retroexcavadora 87 HP)</v>
      </c>
      <c r="C15" s="6" t="str">
        <f>VLOOKUP(A15,Insumos,3)</f>
        <v>h</v>
      </c>
      <c r="D15" s="56">
        <v>0.118</v>
      </c>
      <c r="E15" s="91">
        <f>VLOOKUP(A15,'IN-04-14'!$A$5:$D$441,4)</f>
        <v>402.25</v>
      </c>
      <c r="F15" s="72">
        <f>(D15*E15)</f>
        <v>47.4655</v>
      </c>
      <c r="G15" s="10"/>
    </row>
    <row r="16" spans="1:7" ht="13.5" thickBot="1">
      <c r="A16" s="11"/>
      <c r="B16" s="4"/>
      <c r="C16" s="6"/>
      <c r="D16" s="56"/>
      <c r="E16" s="51"/>
      <c r="F16" s="72"/>
      <c r="G16" s="10"/>
    </row>
    <row r="17" spans="1:7" ht="13.5" thickTop="1">
      <c r="A17" s="74" t="s">
        <v>346</v>
      </c>
      <c r="B17" s="221" t="s">
        <v>194</v>
      </c>
      <c r="C17" s="79" t="str">
        <f>Fecha</f>
        <v>abr-2014</v>
      </c>
      <c r="D17" s="53"/>
      <c r="E17" s="53"/>
      <c r="F17" s="222">
        <f>SUM(F19:F28)</f>
        <v>321.10965010000007</v>
      </c>
      <c r="G17" s="43"/>
    </row>
    <row r="18" spans="1:7" ht="13.5" thickBot="1">
      <c r="A18" s="14" t="s">
        <v>345</v>
      </c>
      <c r="B18" s="14" t="s">
        <v>1801</v>
      </c>
      <c r="C18" s="80" t="s">
        <v>344</v>
      </c>
      <c r="D18" s="54" t="s">
        <v>242</v>
      </c>
      <c r="E18" s="55"/>
      <c r="F18" s="71"/>
      <c r="G18" s="42" t="s">
        <v>1810</v>
      </c>
    </row>
    <row r="19" spans="1:7" ht="13.5" thickTop="1">
      <c r="A19" s="83" t="s">
        <v>350</v>
      </c>
      <c r="B19" s="9"/>
      <c r="C19" s="10"/>
      <c r="D19" s="56"/>
      <c r="E19" s="56"/>
      <c r="F19" s="72"/>
      <c r="G19" s="10"/>
    </row>
    <row r="20" spans="1:7" ht="12.75">
      <c r="A20" s="249" t="s">
        <v>2026</v>
      </c>
      <c r="B20" s="4" t="str">
        <f>VLOOKUP(A20,Insumos,2)</f>
        <v>caño PVC Cloacal JE 160mm</v>
      </c>
      <c r="C20" s="6" t="str">
        <f>VLOOKUP(A20,Insumos,3)</f>
        <v>m</v>
      </c>
      <c r="D20" s="56">
        <v>1.56</v>
      </c>
      <c r="E20" s="91">
        <f>VLOOKUP(A20,'IN-04-14'!$A$5:$D$441,4)</f>
        <v>102.0977</v>
      </c>
      <c r="F20" s="72">
        <f>(D20*E20)</f>
        <v>159.272412</v>
      </c>
      <c r="G20" s="10"/>
    </row>
    <row r="21" spans="1:7" ht="12.75">
      <c r="A21" s="11" t="s">
        <v>151</v>
      </c>
      <c r="B21" s="4" t="str">
        <f>VLOOKUP(A21,Insumos,2)</f>
        <v>marco y tapa H°D° 85/90Kg. Sist. Abisagrado</v>
      </c>
      <c r="C21" s="6" t="str">
        <f>VLOOKUP(A21,Insumos,3)</f>
        <v>u</v>
      </c>
      <c r="D21" s="56">
        <v>0.01</v>
      </c>
      <c r="E21" s="91">
        <f>VLOOKUP(A21,'IN-04-14'!$A$5:$D$441,4)</f>
        <v>842.05</v>
      </c>
      <c r="F21" s="72">
        <f>(D21*E21)</f>
        <v>8.4205</v>
      </c>
      <c r="G21" s="10"/>
    </row>
    <row r="22" spans="1:7" ht="12.75">
      <c r="A22" s="11" t="s">
        <v>1639</v>
      </c>
      <c r="B22" s="4" t="str">
        <f>VLOOKUP(A22,Insumos,2)</f>
        <v>cemento Portland</v>
      </c>
      <c r="C22" s="6" t="str">
        <f>VLOOKUP(A22,Insumos,3)</f>
        <v>kg</v>
      </c>
      <c r="D22" s="56">
        <v>8.473</v>
      </c>
      <c r="E22" s="91">
        <f>VLOOKUP(A22,'IN-04-14'!$A$5:$D$441,4)</f>
        <v>1.65</v>
      </c>
      <c r="F22" s="72">
        <f>(D22*E22)</f>
        <v>13.980450000000001</v>
      </c>
      <c r="G22" s="10"/>
    </row>
    <row r="23" spans="1:7" ht="12.75">
      <c r="A23" s="11" t="s">
        <v>1651</v>
      </c>
      <c r="B23" s="4" t="str">
        <f>VLOOKUP(A23,Insumos,2)</f>
        <v>ripiosa</v>
      </c>
      <c r="C23" s="6" t="str">
        <f>VLOOKUP(A23,Insumos,3)</f>
        <v>m3</v>
      </c>
      <c r="D23" s="56">
        <v>0.032</v>
      </c>
      <c r="E23" s="91">
        <f>VLOOKUP(A23,'IN-04-14'!$A$5:$D$441,4)</f>
        <v>142.07</v>
      </c>
      <c r="F23" s="72">
        <f>(D23*E23)</f>
        <v>4.54624</v>
      </c>
      <c r="G23" s="10"/>
    </row>
    <row r="24" spans="1:7" ht="12.75">
      <c r="A24" s="11" t="s">
        <v>1638</v>
      </c>
      <c r="B24" s="4" t="str">
        <f>VLOOKUP(A24,Insumos,2)</f>
        <v>hierro mejorado de 10 mm.</v>
      </c>
      <c r="C24" s="6" t="str">
        <f>VLOOKUP(A24,Insumos,3)</f>
        <v>kg</v>
      </c>
      <c r="D24" s="56">
        <v>0.657</v>
      </c>
      <c r="E24" s="91">
        <f>VLOOKUP(A24,'IN-04-14'!$A$5:$D$441,4)</f>
        <v>9.3933</v>
      </c>
      <c r="F24" s="72">
        <f>(D24*E24)</f>
        <v>6.1713981</v>
      </c>
      <c r="G24" s="10"/>
    </row>
    <row r="25" spans="1:7" ht="12.75">
      <c r="A25" s="83" t="s">
        <v>351</v>
      </c>
      <c r="B25" s="9"/>
      <c r="C25" s="10"/>
      <c r="D25" s="56"/>
      <c r="E25" s="91"/>
      <c r="F25" s="72"/>
      <c r="G25" s="10"/>
    </row>
    <row r="26" spans="1:7" ht="12.75">
      <c r="A26" s="11" t="s">
        <v>1668</v>
      </c>
      <c r="B26" s="4" t="str">
        <f>VLOOKUP(A26,Insumos,2)</f>
        <v>cuadrilla tipo U.G.A.T.S.</v>
      </c>
      <c r="C26" s="6" t="str">
        <f>VLOOKUP(A26,Insumos,3)</f>
        <v>h</v>
      </c>
      <c r="D26" s="56">
        <v>1.205</v>
      </c>
      <c r="E26" s="91">
        <f>VLOOKUP(A26,'IN-04-14'!$A$5:$D$441,4)</f>
        <v>67.43</v>
      </c>
      <c r="F26" s="72">
        <f>(D26*E26)</f>
        <v>81.25315000000002</v>
      </c>
      <c r="G26" s="10"/>
    </row>
    <row r="27" spans="1:7" ht="12.75">
      <c r="A27" s="83" t="s">
        <v>352</v>
      </c>
      <c r="B27" s="9"/>
      <c r="C27" s="10"/>
      <c r="D27" s="56"/>
      <c r="E27" s="91"/>
      <c r="F27" s="72"/>
      <c r="G27" s="10"/>
    </row>
    <row r="28" spans="1:7" ht="12.75">
      <c r="A28" s="11" t="s">
        <v>1956</v>
      </c>
      <c r="B28" s="4" t="str">
        <f>VLOOKUP(A28,Insumos,2)</f>
        <v>canasta 3 (retroexcavadora 87 HP)</v>
      </c>
      <c r="C28" s="6" t="str">
        <f>VLOOKUP(A28,Insumos,3)</f>
        <v>h</v>
      </c>
      <c r="D28" s="56">
        <v>0.118</v>
      </c>
      <c r="E28" s="91">
        <f>VLOOKUP(A28,'IN-04-14'!$A$5:$D$441,4)</f>
        <v>402.25</v>
      </c>
      <c r="F28" s="72">
        <f>(D28*E28)</f>
        <v>47.4655</v>
      </c>
      <c r="G28" s="10"/>
    </row>
    <row r="29" spans="1:7" ht="12.75">
      <c r="A29" s="11"/>
      <c r="B29" s="4"/>
      <c r="C29" s="6"/>
      <c r="D29" s="56"/>
      <c r="E29" s="51"/>
      <c r="F29" s="72"/>
      <c r="G29" s="10"/>
    </row>
    <row r="30" spans="1:7" ht="12.75">
      <c r="A30" s="11"/>
      <c r="B30" s="4"/>
      <c r="C30" s="6"/>
      <c r="D30" s="56"/>
      <c r="E30" s="51"/>
      <c r="F30" s="72"/>
      <c r="G30" s="10"/>
    </row>
    <row r="31" spans="1:7" ht="12.75">
      <c r="A31" s="11"/>
      <c r="B31" s="4"/>
      <c r="C31" s="6"/>
      <c r="D31" s="56"/>
      <c r="E31" s="51"/>
      <c r="F31" s="72"/>
      <c r="G31" s="10"/>
    </row>
    <row r="32" spans="1:7" ht="12.75">
      <c r="A32" s="11"/>
      <c r="B32" s="4"/>
      <c r="C32" s="6"/>
      <c r="D32" s="56"/>
      <c r="E32" s="51"/>
      <c r="F32" s="72"/>
      <c r="G32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9"/>
  </sheetPr>
  <dimension ref="A1:G26"/>
  <sheetViews>
    <sheetView showGridLines="0" zoomScale="90" zoomScaleNormal="90" zoomScaleSheetLayoutView="75" zoomScalePageLayoutView="0" workbookViewId="0" topLeftCell="A1">
      <selection activeCell="E14" sqref="E1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11"/>
      <c r="B1" s="4"/>
      <c r="C1" s="6"/>
      <c r="D1" s="56"/>
      <c r="E1" s="51"/>
      <c r="F1" s="72"/>
      <c r="G1" s="10"/>
    </row>
    <row r="2" spans="1:7" ht="13.5" thickTop="1">
      <c r="A2" s="74" t="s">
        <v>346</v>
      </c>
      <c r="B2" s="221" t="s">
        <v>1805</v>
      </c>
      <c r="C2" s="79" t="str">
        <f>Fecha</f>
        <v>abr-2014</v>
      </c>
      <c r="D2" s="53"/>
      <c r="E2" s="53"/>
      <c r="F2" s="222">
        <f>SUM(F4:F11)</f>
        <v>175.36755</v>
      </c>
      <c r="G2" s="43"/>
    </row>
    <row r="3" spans="1:7" ht="13.5" thickBot="1">
      <c r="A3" s="14" t="s">
        <v>345</v>
      </c>
      <c r="B3" s="14" t="s">
        <v>1803</v>
      </c>
      <c r="C3" s="80" t="s">
        <v>344</v>
      </c>
      <c r="D3" s="54" t="s">
        <v>1915</v>
      </c>
      <c r="E3" s="55"/>
      <c r="F3" s="71"/>
      <c r="G3" s="42" t="s">
        <v>1810</v>
      </c>
    </row>
    <row r="4" spans="1:7" ht="13.5" thickTop="1">
      <c r="A4" s="83" t="s">
        <v>350</v>
      </c>
      <c r="B4" s="9"/>
      <c r="C4" s="19"/>
      <c r="D4" s="64"/>
      <c r="E4" s="56"/>
      <c r="F4" s="72"/>
      <c r="G4" s="10"/>
    </row>
    <row r="5" spans="1:7" ht="12.75">
      <c r="A5" s="11" t="s">
        <v>152</v>
      </c>
      <c r="B5" s="4" t="str">
        <f>VLOOKUP(A5,Insumos,2)</f>
        <v>tubo Pead Gas 50mm 4bar </v>
      </c>
      <c r="C5" s="4" t="str">
        <f>VLOOKUP(A5,'IN-04-14'!$A$5:$D$441,3)</f>
        <v>m</v>
      </c>
      <c r="D5" s="56">
        <v>1.8</v>
      </c>
      <c r="E5" s="91">
        <f>VLOOKUP(A5,'IN-04-14'!$A$5:$D$441,4)</f>
        <v>27.5</v>
      </c>
      <c r="F5" s="72">
        <f>(D5*E5)</f>
        <v>49.5</v>
      </c>
      <c r="G5" s="10"/>
    </row>
    <row r="6" spans="1:7" ht="12.75">
      <c r="A6" s="11" t="s">
        <v>195</v>
      </c>
      <c r="B6" s="4" t="str">
        <f>VLOOKUP(A6,Insumos,2)</f>
        <v>cupla E/F Gas PE80 50mm</v>
      </c>
      <c r="C6" s="4" t="str">
        <f>VLOOKUP(A6,'IN-04-14'!$A$5:$D$441,3)</f>
        <v>u</v>
      </c>
      <c r="D6" s="56">
        <v>0.16</v>
      </c>
      <c r="E6" s="91">
        <f>VLOOKUP(A6,'IN-04-14'!$A$5:$D$441,4)</f>
        <v>57.96</v>
      </c>
      <c r="F6" s="72">
        <f>(D6*E6)</f>
        <v>9.2736</v>
      </c>
      <c r="G6" s="10"/>
    </row>
    <row r="7" spans="1:7" ht="12.75">
      <c r="A7" s="11" t="s">
        <v>161</v>
      </c>
      <c r="B7" s="4" t="str">
        <f>VLOOKUP(A7,Insumos,2)</f>
        <v>toma Servicio Gas E/F 63x25mm</v>
      </c>
      <c r="C7" s="4" t="str">
        <f>VLOOKUP(A7,'IN-04-14'!$A$5:$D$441,3)</f>
        <v>u</v>
      </c>
      <c r="D7" s="56">
        <v>0.113</v>
      </c>
      <c r="E7" s="91">
        <f>VLOOKUP(A7,'IN-04-14'!$A$5:$D$441,4)</f>
        <v>127.05</v>
      </c>
      <c r="F7" s="72">
        <f>(D7*E7)</f>
        <v>14.35665</v>
      </c>
      <c r="G7" s="10"/>
    </row>
    <row r="8" spans="1:7" ht="12.75">
      <c r="A8" s="83" t="s">
        <v>351</v>
      </c>
      <c r="B8" s="9"/>
      <c r="C8" s="10"/>
      <c r="D8" s="56"/>
      <c r="E8" s="91"/>
      <c r="F8" s="72"/>
      <c r="G8" s="10"/>
    </row>
    <row r="9" spans="1:7" ht="12.75">
      <c r="A9" s="11" t="s">
        <v>1668</v>
      </c>
      <c r="B9" s="4" t="str">
        <f>VLOOKUP(A9,Insumos,2)</f>
        <v>cuadrilla tipo U.G.A.T.S.</v>
      </c>
      <c r="C9" s="6" t="str">
        <f>VLOOKUP(A9,Insumos,3)</f>
        <v>h</v>
      </c>
      <c r="D9" s="56">
        <v>0.86</v>
      </c>
      <c r="E9" s="91">
        <f>VLOOKUP(A9,'IN-04-14'!$A$5:$D$441,4)</f>
        <v>67.43</v>
      </c>
      <c r="F9" s="72">
        <f>(D9*E9)</f>
        <v>57.9898</v>
      </c>
      <c r="G9" s="10"/>
    </row>
    <row r="10" spans="1:7" ht="12.75">
      <c r="A10" s="83" t="s">
        <v>352</v>
      </c>
      <c r="B10" s="9"/>
      <c r="C10" s="10"/>
      <c r="D10" s="56"/>
      <c r="E10" s="91"/>
      <c r="F10" s="72"/>
      <c r="G10" s="10"/>
    </row>
    <row r="11" spans="1:7" ht="12.75">
      <c r="A11" s="11" t="s">
        <v>1956</v>
      </c>
      <c r="B11" s="4" t="str">
        <f>VLOOKUP(A11,Insumos,2)</f>
        <v>canasta 3 (retroexcavadora 87 HP)</v>
      </c>
      <c r="C11" s="6" t="str">
        <f>VLOOKUP(A11,Insumos,3)</f>
        <v>h</v>
      </c>
      <c r="D11" s="56">
        <v>0.11</v>
      </c>
      <c r="E11" s="91">
        <f>VLOOKUP(A11,'IN-04-14'!$A$5:$D$441,4)</f>
        <v>402.25</v>
      </c>
      <c r="F11" s="72">
        <f>(D11*E11)</f>
        <v>44.2475</v>
      </c>
      <c r="G11" s="10"/>
    </row>
    <row r="12" spans="1:7" ht="12.75">
      <c r="A12" s="9"/>
      <c r="B12" s="9"/>
      <c r="C12" s="10"/>
      <c r="D12" s="52"/>
      <c r="E12" s="52"/>
      <c r="F12" s="70"/>
      <c r="G12" s="10"/>
    </row>
    <row r="24" spans="1:7" ht="12.75">
      <c r="A24" s="11"/>
      <c r="B24" s="12"/>
      <c r="C24" s="13"/>
      <c r="D24" s="56"/>
      <c r="E24" s="56"/>
      <c r="F24" s="72"/>
      <c r="G24" s="10"/>
    </row>
    <row r="25" spans="1:7" ht="12.75">
      <c r="A25" s="9"/>
      <c r="B25" s="9"/>
      <c r="C25" s="10"/>
      <c r="D25" s="52"/>
      <c r="E25" s="52"/>
      <c r="F25" s="70"/>
      <c r="G25" s="10"/>
    </row>
    <row r="26" spans="1:7" ht="12.75">
      <c r="A26" s="11"/>
      <c r="B26" s="12"/>
      <c r="C26" s="13"/>
      <c r="D26" s="56"/>
      <c r="E26" s="56"/>
      <c r="F26" s="72"/>
      <c r="G26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1"/>
  </sheetPr>
  <dimension ref="A2:H67"/>
  <sheetViews>
    <sheetView showGridLines="0" zoomScale="90" zoomScaleNormal="90" zoomScaleSheetLayoutView="75" zoomScalePageLayoutView="0" workbookViewId="0" topLeftCell="A1">
      <selection activeCell="A61" sqref="A6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6" t="s">
        <v>346</v>
      </c>
      <c r="B2" s="226" t="s">
        <v>1808</v>
      </c>
      <c r="C2" s="81" t="str">
        <f>Fecha</f>
        <v>abr-2014</v>
      </c>
      <c r="D2" s="57"/>
      <c r="E2" s="57"/>
      <c r="F2" s="227">
        <f>SUM(F5:F18)</f>
        <v>191695.14489959998</v>
      </c>
      <c r="G2" s="45"/>
    </row>
    <row r="3" spans="1:7" ht="13.5" thickBot="1">
      <c r="A3" s="34" t="s">
        <v>345</v>
      </c>
      <c r="B3" s="35" t="s">
        <v>279</v>
      </c>
      <c r="C3" s="35" t="s">
        <v>344</v>
      </c>
      <c r="D3" s="58" t="s">
        <v>280</v>
      </c>
      <c r="E3" s="59"/>
      <c r="F3" s="73"/>
      <c r="G3" s="46" t="s">
        <v>178</v>
      </c>
    </row>
    <row r="4" spans="1:7" ht="13.5" thickTop="1">
      <c r="A4" s="83" t="s">
        <v>350</v>
      </c>
      <c r="B4" s="4"/>
      <c r="C4" s="6"/>
      <c r="D4" s="56"/>
      <c r="E4" s="51"/>
      <c r="F4" s="72"/>
      <c r="G4" s="10"/>
    </row>
    <row r="5" spans="1:7" ht="12.75">
      <c r="A5" s="11" t="s">
        <v>298</v>
      </c>
      <c r="B5" s="4" t="str">
        <f aca="true" t="shared" si="0" ref="B5:B14">VLOOKUP(A5,Insumos,2)</f>
        <v>Cruceta de H°A° MN 157 (2,20 m) c/ganchos</v>
      </c>
      <c r="C5" s="6" t="str">
        <f aca="true" t="shared" si="1" ref="C5:C14">VLOOKUP(A5,Insumos,3)</f>
        <v>u</v>
      </c>
      <c r="D5" s="60">
        <v>2</v>
      </c>
      <c r="E5" s="61">
        <f>VLOOKUP(A5,'IN-04-14'!A6:D880,4)</f>
        <v>4275.4955</v>
      </c>
      <c r="F5" s="72">
        <f aca="true" t="shared" si="2" ref="F5:F10">(D5*E5)</f>
        <v>8550.991</v>
      </c>
      <c r="G5" s="10"/>
    </row>
    <row r="6" spans="1:7" ht="12.75">
      <c r="A6" s="249" t="s">
        <v>871</v>
      </c>
      <c r="B6" s="4" t="str">
        <f t="shared" si="0"/>
        <v>Descargador óxido de zinc con desligador </v>
      </c>
      <c r="C6" s="6" t="str">
        <f t="shared" si="1"/>
        <v>u</v>
      </c>
      <c r="D6" s="60">
        <v>3.891</v>
      </c>
      <c r="E6" s="61">
        <f>VLOOKUP(A6,'IN-04-14'!A7:D881,4)</f>
        <v>633.7462</v>
      </c>
      <c r="F6" s="72">
        <f t="shared" si="2"/>
        <v>2465.9064642000003</v>
      </c>
      <c r="G6" s="10"/>
    </row>
    <row r="7" spans="1:7" ht="12.75">
      <c r="A7" s="249" t="s">
        <v>872</v>
      </c>
      <c r="B7" s="4" t="str">
        <f t="shared" si="0"/>
        <v>Cable de Cu desnudo de 50 mm² de Secc.</v>
      </c>
      <c r="C7" s="6" t="str">
        <f t="shared" si="1"/>
        <v>m</v>
      </c>
      <c r="D7" s="60">
        <v>109.51</v>
      </c>
      <c r="E7" s="61">
        <f>VLOOKUP(A7,'IN-04-14'!A8:D882,4)</f>
        <v>93.015</v>
      </c>
      <c r="F7" s="72">
        <f t="shared" si="2"/>
        <v>10186.07265</v>
      </c>
      <c r="G7" s="10"/>
    </row>
    <row r="8" spans="1:7" ht="12.75">
      <c r="A8" s="11" t="s">
        <v>302</v>
      </c>
      <c r="B8" s="4" t="str">
        <f>VLOOKUP(A8,'IN-04-14'!$A$5:$D$441,2)</f>
        <v>Transformador de potencia 13,2 KV, 315/0,4/0,231 KVA</v>
      </c>
      <c r="C8" s="4" t="str">
        <f>VLOOKUP(A8,'IN-04-14'!$A$5:$D$441,3)</f>
        <v>u</v>
      </c>
      <c r="D8" s="60">
        <v>1</v>
      </c>
      <c r="E8" s="61">
        <f>VLOOKUP(A8,'IN-04-14'!A9:D883,4)</f>
        <v>101720.325</v>
      </c>
      <c r="F8" s="72">
        <f t="shared" si="2"/>
        <v>101720.325</v>
      </c>
      <c r="G8" s="10"/>
    </row>
    <row r="9" spans="1:7" ht="12.75" hidden="1">
      <c r="A9" s="11" t="s">
        <v>1368</v>
      </c>
      <c r="B9" s="4" t="str">
        <f>VLOOKUP(A9,'IN-04-14'!$A$5:$D$441,2)</f>
        <v>Caja de distribución polyester conj. Secc. APR c/fusibles SETA</v>
      </c>
      <c r="C9" s="4" t="str">
        <f>VLOOKUP(A9,'IN-04-14'!$A$5:$D$441,3)</f>
        <v>u</v>
      </c>
      <c r="D9" s="60">
        <v>6.242</v>
      </c>
      <c r="E9" s="61">
        <f>VLOOKUP(A9,'IN-04-14'!A10:D884,4)</f>
        <v>159.04</v>
      </c>
      <c r="F9" s="72">
        <f t="shared" si="2"/>
        <v>992.72768</v>
      </c>
      <c r="G9" s="10"/>
    </row>
    <row r="10" spans="1:7" ht="12.75">
      <c r="A10" s="11" t="s">
        <v>304</v>
      </c>
      <c r="B10" s="4" t="str">
        <f>VLOOKUP(A10,'IN-04-14'!$A$5:$D$441,2)</f>
        <v>Morseto de retensión - grampa peine</v>
      </c>
      <c r="C10" s="4" t="str">
        <f>VLOOKUP(A10,'IN-04-14'!$A$5:$D$441,3)</f>
        <v>gl</v>
      </c>
      <c r="D10" s="60">
        <v>47.35</v>
      </c>
      <c r="E10" s="61">
        <f>VLOOKUP(A10,'IN-04-14'!A11:D885,4)</f>
        <v>14.8466</v>
      </c>
      <c r="F10" s="72">
        <f t="shared" si="2"/>
        <v>702.9865100000001</v>
      </c>
      <c r="G10" s="10"/>
    </row>
    <row r="11" spans="1:7" ht="12.75">
      <c r="A11" s="11" t="s">
        <v>1911</v>
      </c>
      <c r="B11" s="4" t="str">
        <f t="shared" si="0"/>
        <v>arena mediana</v>
      </c>
      <c r="C11" s="6" t="str">
        <f t="shared" si="1"/>
        <v>m3</v>
      </c>
      <c r="D11" s="60">
        <v>7</v>
      </c>
      <c r="E11" s="61">
        <f>VLOOKUP(A11,'IN-04-14'!A12:D886,4)</f>
        <v>155.9867</v>
      </c>
      <c r="F11" s="72">
        <f>E11*D11</f>
        <v>1091.9069000000002</v>
      </c>
      <c r="G11" s="10"/>
    </row>
    <row r="12" spans="1:7" ht="12.75">
      <c r="A12" s="11" t="s">
        <v>1640</v>
      </c>
      <c r="B12" s="4" t="str">
        <f t="shared" si="0"/>
        <v>ripio zarandeado 1/3</v>
      </c>
      <c r="C12" s="6" t="str">
        <f t="shared" si="1"/>
        <v>m3</v>
      </c>
      <c r="D12" s="60">
        <v>11</v>
      </c>
      <c r="E12" s="61">
        <f>VLOOKUP(A12,'IN-04-14'!A13:D887,4)</f>
        <v>126.06</v>
      </c>
      <c r="F12" s="72">
        <f>E12*D12</f>
        <v>1386.66</v>
      </c>
      <c r="G12" s="10"/>
    </row>
    <row r="13" spans="1:7" ht="12.75">
      <c r="A13" s="11" t="s">
        <v>1639</v>
      </c>
      <c r="B13" s="4" t="str">
        <f t="shared" si="0"/>
        <v>cemento Portland</v>
      </c>
      <c r="C13" s="6" t="str">
        <f t="shared" si="1"/>
        <v>kg</v>
      </c>
      <c r="D13" s="60">
        <v>2700</v>
      </c>
      <c r="E13" s="61">
        <f>VLOOKUP(A13,'IN-04-14'!A14:D888,4)</f>
        <v>1.65</v>
      </c>
      <c r="F13" s="72">
        <f>E13*D13</f>
        <v>4455</v>
      </c>
      <c r="G13" s="10"/>
    </row>
    <row r="14" spans="1:7" ht="12.75">
      <c r="A14" s="11" t="s">
        <v>300</v>
      </c>
      <c r="B14" s="4" t="str">
        <f t="shared" si="0"/>
        <v>Columna de Hº Aº Vº de 10,50/1000/3</v>
      </c>
      <c r="C14" s="6" t="str">
        <f t="shared" si="1"/>
        <v>u</v>
      </c>
      <c r="D14" s="60">
        <v>2.098</v>
      </c>
      <c r="E14" s="61">
        <f>VLOOKUP(A14,'IN-04-14'!A15:D889,4)</f>
        <v>16460.3798</v>
      </c>
      <c r="F14" s="72">
        <f>(D14*E14)</f>
        <v>34533.87682039999</v>
      </c>
      <c r="G14" s="10"/>
    </row>
    <row r="15" spans="1:7" ht="12.75">
      <c r="A15" s="83" t="s">
        <v>351</v>
      </c>
      <c r="B15" s="9"/>
      <c r="C15" s="10"/>
      <c r="D15" s="56"/>
      <c r="E15" s="61"/>
      <c r="F15" s="72"/>
      <c r="G15" s="10"/>
    </row>
    <row r="16" spans="1:7" ht="12.75">
      <c r="A16" s="11" t="s">
        <v>1668</v>
      </c>
      <c r="B16" s="4" t="str">
        <f>VLOOKUP(A16,Insumos,2)</f>
        <v>cuadrilla tipo U.G.A.T.S.</v>
      </c>
      <c r="C16" s="6" t="str">
        <f>VLOOKUP(A16,Insumos,3)</f>
        <v>h</v>
      </c>
      <c r="D16" s="56">
        <v>301.9</v>
      </c>
      <c r="E16" s="61">
        <f>VLOOKUP(A16,'IN-04-14'!A17:D891,4)</f>
        <v>67.43</v>
      </c>
      <c r="F16" s="72">
        <f>(D16*E16)</f>
        <v>20357.117000000002</v>
      </c>
      <c r="G16" s="10"/>
    </row>
    <row r="17" spans="1:7" ht="12.75">
      <c r="A17" s="83" t="s">
        <v>352</v>
      </c>
      <c r="B17" s="9"/>
      <c r="C17" s="10"/>
      <c r="D17" s="56"/>
      <c r="E17" s="61"/>
      <c r="F17" s="72"/>
      <c r="G17" s="10"/>
    </row>
    <row r="18" spans="1:7" ht="12.75">
      <c r="A18" s="11" t="s">
        <v>1956</v>
      </c>
      <c r="B18" s="4" t="str">
        <f>VLOOKUP(A18,Insumos,2)</f>
        <v>canasta 3 (retroexcavadora 87 HP)</v>
      </c>
      <c r="C18" s="6" t="str">
        <f>VLOOKUP(A18,Insumos,3)</f>
        <v>h</v>
      </c>
      <c r="D18" s="56">
        <v>13.0555</v>
      </c>
      <c r="E18" s="61">
        <f>VLOOKUP(A18,'IN-04-14'!A19:D893,4)</f>
        <v>402.25</v>
      </c>
      <c r="F18" s="72">
        <f>(D18*E18)</f>
        <v>5251.574875</v>
      </c>
      <c r="G18" s="10"/>
    </row>
    <row r="19" spans="1:7" ht="13.5" thickBot="1">
      <c r="A19" s="11"/>
      <c r="B19" s="4"/>
      <c r="C19" s="6"/>
      <c r="D19" s="56"/>
      <c r="E19" s="51"/>
      <c r="F19" s="72"/>
      <c r="G19" s="10"/>
    </row>
    <row r="20" spans="1:7" ht="13.5" thickTop="1">
      <c r="A20" s="76" t="s">
        <v>346</v>
      </c>
      <c r="B20" s="226" t="s">
        <v>1809</v>
      </c>
      <c r="C20" s="81" t="str">
        <f>Fecha</f>
        <v>abr-2014</v>
      </c>
      <c r="D20" s="57"/>
      <c r="E20" s="57"/>
      <c r="F20" s="227">
        <f>SUM(F23:F35)</f>
        <v>34834.015061000006</v>
      </c>
      <c r="G20" s="45"/>
    </row>
    <row r="21" spans="1:7" ht="13.5" thickBot="1">
      <c r="A21" s="34" t="s">
        <v>345</v>
      </c>
      <c r="B21" s="34" t="s">
        <v>285</v>
      </c>
      <c r="C21" s="35" t="s">
        <v>344</v>
      </c>
      <c r="D21" s="62" t="s">
        <v>286</v>
      </c>
      <c r="E21" s="59"/>
      <c r="F21" s="73"/>
      <c r="G21" s="47" t="s">
        <v>347</v>
      </c>
    </row>
    <row r="22" spans="1:7" ht="13.5" thickTop="1">
      <c r="A22" s="83" t="s">
        <v>350</v>
      </c>
      <c r="B22" s="9"/>
      <c r="C22" s="10"/>
      <c r="D22" s="56"/>
      <c r="E22" s="56"/>
      <c r="F22" s="72"/>
      <c r="G22" s="10"/>
    </row>
    <row r="23" spans="1:7" ht="12.75">
      <c r="A23" s="11" t="s">
        <v>1911</v>
      </c>
      <c r="B23" s="4" t="str">
        <f>VLOOKUP(A23,Insumos,2)</f>
        <v>arena mediana</v>
      </c>
      <c r="C23" s="6" t="str">
        <f>VLOOKUP(A23,Insumos,3)</f>
        <v>m3</v>
      </c>
      <c r="D23" s="56">
        <v>0.93</v>
      </c>
      <c r="E23" s="61">
        <f>VLOOKUP(A23,'IN-04-14'!A24:D898,4)</f>
        <v>155.9867</v>
      </c>
      <c r="F23" s="72">
        <f aca="true" t="shared" si="3" ref="F23:F31">(D23*E23)</f>
        <v>145.067631</v>
      </c>
      <c r="G23" s="10"/>
    </row>
    <row r="24" spans="1:7" ht="12.75">
      <c r="A24" s="11" t="s">
        <v>1640</v>
      </c>
      <c r="B24" s="4" t="str">
        <f>VLOOKUP(A24,Insumos,2)</f>
        <v>ripio zarandeado 1/3</v>
      </c>
      <c r="C24" s="6" t="str">
        <f>VLOOKUP(A24,Insumos,3)</f>
        <v>m3</v>
      </c>
      <c r="D24" s="56">
        <v>1.07</v>
      </c>
      <c r="E24" s="61">
        <f>VLOOKUP(A24,'IN-04-14'!A25:D899,4)</f>
        <v>126.06</v>
      </c>
      <c r="F24" s="72">
        <f t="shared" si="3"/>
        <v>134.88420000000002</v>
      </c>
      <c r="G24" s="10"/>
    </row>
    <row r="25" spans="1:7" ht="12.75">
      <c r="A25" s="11" t="s">
        <v>1639</v>
      </c>
      <c r="B25" s="4" t="str">
        <f>VLOOKUP(A25,Insumos,2)</f>
        <v>cemento Portland</v>
      </c>
      <c r="C25" s="6" t="str">
        <f>VLOOKUP(A25,Insumos,3)</f>
        <v>kg</v>
      </c>
      <c r="D25" s="56">
        <v>161</v>
      </c>
      <c r="E25" s="61">
        <f>VLOOKUP(A25,'IN-04-14'!A26:D900,4)</f>
        <v>1.65</v>
      </c>
      <c r="F25" s="72">
        <f t="shared" si="3"/>
        <v>265.65</v>
      </c>
      <c r="G25" s="10"/>
    </row>
    <row r="26" spans="1:7" ht="12.75">
      <c r="A26" s="11" t="s">
        <v>299</v>
      </c>
      <c r="B26" s="4" t="str">
        <f>VLOOKUP(A26,Insumos,2)</f>
        <v>Cruceta de Hº Aº separadora</v>
      </c>
      <c r="C26" s="6" t="str">
        <f>VLOOKUP(A26,Insumos,3)</f>
        <v>u</v>
      </c>
      <c r="D26" s="63">
        <v>1</v>
      </c>
      <c r="E26" s="61">
        <f>VLOOKUP(A26,'IN-04-14'!A27:D901,4)</f>
        <v>4179.9612</v>
      </c>
      <c r="F26" s="72">
        <f t="shared" si="3"/>
        <v>4179.9612</v>
      </c>
      <c r="G26" s="10"/>
    </row>
    <row r="27" spans="1:7" ht="12.75">
      <c r="A27" s="11" t="s">
        <v>300</v>
      </c>
      <c r="B27" s="4" t="str">
        <f>VLOOKUP(A27,Insumos,2)</f>
        <v>Columna de Hº Aº Vº de 10,50/1000/3</v>
      </c>
      <c r="C27" s="6" t="str">
        <f>VLOOKUP(A27,Insumos,3)</f>
        <v>u</v>
      </c>
      <c r="D27" s="63">
        <v>1</v>
      </c>
      <c r="E27" s="61">
        <f>VLOOKUP(A27,'IN-04-14'!A28:D902,4)</f>
        <v>16460.3798</v>
      </c>
      <c r="F27" s="72">
        <f t="shared" si="3"/>
        <v>16460.3798</v>
      </c>
      <c r="G27" s="10"/>
    </row>
    <row r="28" spans="1:7" ht="12.75">
      <c r="A28" s="249" t="s">
        <v>878</v>
      </c>
      <c r="B28" s="4" t="str">
        <f>VLOOKUP(A28,'IN-04-14'!$A$5:$D$441,2)</f>
        <v>Aislador Orgánico 13,2/33kv</v>
      </c>
      <c r="C28" s="4" t="str">
        <f>VLOOKUP(A28,'IN-04-14'!$A$5:$D$441,3)</f>
        <v>u</v>
      </c>
      <c r="D28" s="63">
        <v>3</v>
      </c>
      <c r="E28" s="61">
        <f>VLOOKUP(A28,'IN-04-14'!A29:D903,4)</f>
        <v>172.81</v>
      </c>
      <c r="F28" s="72">
        <f t="shared" si="3"/>
        <v>518.4300000000001</v>
      </c>
      <c r="G28" s="10"/>
    </row>
    <row r="29" spans="1:7" ht="12.75">
      <c r="A29" s="249" t="s">
        <v>884</v>
      </c>
      <c r="B29" s="4" t="str">
        <f>VLOOKUP(A29,'IN-04-14'!$A$5:$D$441,2)</f>
        <v>Juego de retensión completo</v>
      </c>
      <c r="C29" s="4" t="str">
        <f>VLOOKUP(A29,'IN-04-14'!$A$5:$D$441,3)</f>
        <v>u</v>
      </c>
      <c r="D29" s="63">
        <v>9.37</v>
      </c>
      <c r="E29" s="61">
        <f>VLOOKUP(A29,'IN-04-14'!A30:D904,4)</f>
        <v>658.62</v>
      </c>
      <c r="F29" s="72">
        <f t="shared" si="3"/>
        <v>6171.269399999999</v>
      </c>
      <c r="G29" s="10"/>
    </row>
    <row r="30" spans="1:7" ht="12.75">
      <c r="A30" s="249" t="s">
        <v>874</v>
      </c>
      <c r="B30" s="4" t="str">
        <f>VLOOKUP(A30,'IN-04-14'!$A$5:$D$441,2)</f>
        <v>Cable de Al desnudo de 50 mm² de Secc.</v>
      </c>
      <c r="C30" s="4" t="str">
        <f>VLOOKUP(A30,'IN-04-14'!$A$5:$D$441,3)</f>
        <v>m</v>
      </c>
      <c r="D30" s="56">
        <v>1.05</v>
      </c>
      <c r="E30" s="61">
        <f>VLOOKUP(A30,'IN-04-14'!A31:D905,4)</f>
        <v>15.26</v>
      </c>
      <c r="F30" s="72">
        <f t="shared" si="3"/>
        <v>16.023</v>
      </c>
      <c r="G30" s="10"/>
    </row>
    <row r="31" spans="1:7" ht="12.75">
      <c r="A31" s="249" t="s">
        <v>879</v>
      </c>
      <c r="B31" s="4" t="str">
        <f>VLOOKUP(A31,'IN-04-14'!$A$5:$D$441,2)</f>
        <v>Seccionador fusible XS</v>
      </c>
      <c r="C31" s="4" t="str">
        <f>VLOOKUP(A31,'IN-04-14'!$A$5:$D$441,3)</f>
        <v>u</v>
      </c>
      <c r="D31" s="56">
        <v>1.37</v>
      </c>
      <c r="E31" s="61">
        <f>VLOOKUP(A31,'IN-04-14'!A32:D906,4)</f>
        <v>1013.516</v>
      </c>
      <c r="F31" s="72">
        <f t="shared" si="3"/>
        <v>1388.51692</v>
      </c>
      <c r="G31" s="10"/>
    </row>
    <row r="32" spans="1:7" ht="12.75">
      <c r="A32" s="83" t="s">
        <v>351</v>
      </c>
      <c r="B32" s="9"/>
      <c r="C32" s="6"/>
      <c r="D32" s="56"/>
      <c r="E32" s="61"/>
      <c r="F32" s="72"/>
      <c r="G32" s="10"/>
    </row>
    <row r="33" spans="1:7" ht="12.75">
      <c r="A33" s="11" t="s">
        <v>1668</v>
      </c>
      <c r="B33" s="4" t="str">
        <f>VLOOKUP(A33,Insumos,2)</f>
        <v>cuadrilla tipo U.G.A.T.S.</v>
      </c>
      <c r="C33" s="6" t="str">
        <f>VLOOKUP(A33,Insumos,3)</f>
        <v>h</v>
      </c>
      <c r="D33" s="56">
        <v>51.362</v>
      </c>
      <c r="E33" s="61">
        <f>VLOOKUP(A33,'IN-04-14'!A34:D908,4)</f>
        <v>67.43</v>
      </c>
      <c r="F33" s="72">
        <f>(D33*E33)</f>
        <v>3463.3396600000005</v>
      </c>
      <c r="G33" s="10"/>
    </row>
    <row r="34" spans="1:7" ht="12.75">
      <c r="A34" s="83" t="s">
        <v>352</v>
      </c>
      <c r="B34" s="9"/>
      <c r="C34" s="6"/>
      <c r="D34" s="56"/>
      <c r="E34" s="61"/>
      <c r="F34" s="72"/>
      <c r="G34" s="10"/>
    </row>
    <row r="35" spans="1:7" ht="12.75">
      <c r="A35" s="11" t="s">
        <v>1956</v>
      </c>
      <c r="B35" s="4" t="str">
        <f>VLOOKUP(A35,Insumos,2)</f>
        <v>canasta 3 (retroexcavadora 87 HP)</v>
      </c>
      <c r="C35" s="6" t="str">
        <f>VLOOKUP(A35,Insumos,3)</f>
        <v>h</v>
      </c>
      <c r="D35" s="56">
        <v>5.197</v>
      </c>
      <c r="E35" s="61">
        <f>VLOOKUP(A35,'IN-04-14'!A36:D910,4)</f>
        <v>402.25</v>
      </c>
      <c r="F35" s="72">
        <f>(D35*E35)</f>
        <v>2090.49325</v>
      </c>
      <c r="G35" s="10"/>
    </row>
    <row r="36" spans="1:7" ht="13.5" thickBot="1">
      <c r="A36" s="11"/>
      <c r="B36" s="4"/>
      <c r="C36" s="6"/>
      <c r="D36" s="56"/>
      <c r="E36" s="51"/>
      <c r="F36" s="72"/>
      <c r="G36" s="10"/>
    </row>
    <row r="37" spans="1:7" ht="13.5" thickTop="1">
      <c r="A37" s="76" t="s">
        <v>346</v>
      </c>
      <c r="B37" s="226" t="s">
        <v>1811</v>
      </c>
      <c r="C37" s="81" t="str">
        <f>Fecha</f>
        <v>abr-2014</v>
      </c>
      <c r="D37" s="57"/>
      <c r="E37" s="57"/>
      <c r="F37" s="227">
        <f>SUM(F40:F55)</f>
        <v>24034.500878000003</v>
      </c>
      <c r="G37" s="45"/>
    </row>
    <row r="38" spans="1:7" ht="13.5" thickBot="1">
      <c r="A38" s="34" t="s">
        <v>345</v>
      </c>
      <c r="B38" s="34" t="s">
        <v>289</v>
      </c>
      <c r="C38" s="35" t="s">
        <v>344</v>
      </c>
      <c r="D38" s="62" t="s">
        <v>305</v>
      </c>
      <c r="E38" s="59"/>
      <c r="F38" s="73"/>
      <c r="G38" s="47" t="s">
        <v>347</v>
      </c>
    </row>
    <row r="39" spans="1:7" ht="13.5" thickTop="1">
      <c r="A39" s="83" t="s">
        <v>350</v>
      </c>
      <c r="B39" s="9"/>
      <c r="C39" s="10"/>
      <c r="D39" s="56"/>
      <c r="E39" s="56"/>
      <c r="F39" s="72"/>
      <c r="G39" s="10"/>
    </row>
    <row r="40" spans="1:7" ht="12.75">
      <c r="A40" s="11" t="s">
        <v>1911</v>
      </c>
      <c r="B40" s="4" t="str">
        <f>VLOOKUP(A40,Insumos,2)</f>
        <v>arena mediana</v>
      </c>
      <c r="C40" s="6" t="str">
        <f>VLOOKUP(A40,Insumos,3)</f>
        <v>m3</v>
      </c>
      <c r="D40" s="56">
        <v>1.59</v>
      </c>
      <c r="E40" s="61">
        <f>VLOOKUP(A40,'IN-04-14'!A41:D915,4)</f>
        <v>155.9867</v>
      </c>
      <c r="F40" s="72">
        <f aca="true" t="shared" si="4" ref="F40:F51">(D40*E40)</f>
        <v>248.01885300000004</v>
      </c>
      <c r="G40" s="10"/>
    </row>
    <row r="41" spans="1:7" ht="12.75">
      <c r="A41" s="11" t="s">
        <v>1640</v>
      </c>
      <c r="B41" s="4" t="str">
        <f>VLOOKUP(A41,Insumos,2)</f>
        <v>ripio zarandeado 1/3</v>
      </c>
      <c r="C41" s="6" t="str">
        <f>VLOOKUP(A41,Insumos,3)</f>
        <v>m3</v>
      </c>
      <c r="D41" s="56">
        <v>2.4</v>
      </c>
      <c r="E41" s="61">
        <f>VLOOKUP(A41,'IN-04-14'!A42:D916,4)</f>
        <v>126.06</v>
      </c>
      <c r="F41" s="72">
        <f t="shared" si="4"/>
        <v>302.544</v>
      </c>
      <c r="G41" s="10"/>
    </row>
    <row r="42" spans="1:7" ht="12.75">
      <c r="A42" s="11" t="s">
        <v>1639</v>
      </c>
      <c r="B42" s="4" t="str">
        <f>VLOOKUP(A42,Insumos,2)</f>
        <v>cemento Portland</v>
      </c>
      <c r="C42" s="6" t="str">
        <f>VLOOKUP(A42,Insumos,3)</f>
        <v>kg</v>
      </c>
      <c r="D42" s="56">
        <v>274</v>
      </c>
      <c r="E42" s="61">
        <f>VLOOKUP(A42,'IN-04-14'!A43:D917,4)</f>
        <v>1.65</v>
      </c>
      <c r="F42" s="72">
        <f t="shared" si="4"/>
        <v>452.09999999999997</v>
      </c>
      <c r="G42" s="10"/>
    </row>
    <row r="43" spans="1:7" ht="12.75">
      <c r="A43" s="11" t="s">
        <v>301</v>
      </c>
      <c r="B43" s="4" t="str">
        <f>VLOOKUP(A43,'IN-04-14'!$A$5:$D$441,2)</f>
        <v>Columna de HºAºVº de 9,5/900/3</v>
      </c>
      <c r="C43" s="4" t="str">
        <f>VLOOKUP(A43,'IN-04-14'!$A$5:$D$441,3)</f>
        <v>u</v>
      </c>
      <c r="D43" s="63">
        <v>1</v>
      </c>
      <c r="E43" s="61">
        <f>VLOOKUP(A43,'IN-04-14'!A44:D918,4)</f>
        <v>14322.7125</v>
      </c>
      <c r="F43" s="72">
        <f t="shared" si="4"/>
        <v>14322.7125</v>
      </c>
      <c r="G43" s="10"/>
    </row>
    <row r="44" spans="1:7" ht="12.75">
      <c r="A44" s="249" t="s">
        <v>884</v>
      </c>
      <c r="B44" s="4" t="str">
        <f>VLOOKUP(A44,'IN-04-14'!$A$5:$D$441,2)</f>
        <v>Juego de retensión completo</v>
      </c>
      <c r="C44" s="4" t="str">
        <f>VLOOKUP(A44,'IN-04-14'!$A$5:$D$441,3)</f>
        <v>u</v>
      </c>
      <c r="D44" s="63">
        <v>1.44</v>
      </c>
      <c r="E44" s="61">
        <f>VLOOKUP(A44,'IN-04-14'!A45:D919,4)</f>
        <v>658.62</v>
      </c>
      <c r="F44" s="72">
        <f t="shared" si="4"/>
        <v>948.4128</v>
      </c>
      <c r="G44" s="10"/>
    </row>
    <row r="45" spans="1:7" ht="12.75">
      <c r="A45" s="249" t="s">
        <v>868</v>
      </c>
      <c r="B45" s="4" t="str">
        <f>VLOOKUP(A45,'IN-04-14'!$A$5:$D$441,2)</f>
        <v>Poste de eucaliptus creosotado 11 m</v>
      </c>
      <c r="C45" s="4" t="str">
        <f>VLOOKUP(A45,'IN-04-14'!$A$5:$D$441,3)</f>
        <v>u</v>
      </c>
      <c r="D45" s="63">
        <v>1</v>
      </c>
      <c r="E45" s="61">
        <f>VLOOKUP(A45,'IN-04-14'!A46:D920,4)</f>
        <v>305</v>
      </c>
      <c r="F45" s="72">
        <f t="shared" si="4"/>
        <v>305</v>
      </c>
      <c r="G45" s="10"/>
    </row>
    <row r="46" spans="1:7" ht="12.75">
      <c r="A46" s="249" t="s">
        <v>885</v>
      </c>
      <c r="B46" s="4" t="str">
        <f>VLOOKUP(A46,'IN-04-14'!$A$5:$D$441,2)</f>
        <v>Juego de suspensión completo</v>
      </c>
      <c r="C46" s="4" t="str">
        <f>VLOOKUP(A46,'IN-04-14'!$A$5:$D$441,3)</f>
        <v>u</v>
      </c>
      <c r="D46" s="63">
        <v>1</v>
      </c>
      <c r="E46" s="61">
        <f>VLOOKUP(A46,'IN-04-14'!A47:D921,4)</f>
        <v>1270.4863</v>
      </c>
      <c r="F46" s="72">
        <f t="shared" si="4"/>
        <v>1270.4863</v>
      </c>
      <c r="G46" s="10"/>
    </row>
    <row r="47" spans="1:7" ht="12.75">
      <c r="A47" s="249" t="s">
        <v>875</v>
      </c>
      <c r="B47" s="4" t="str">
        <f>VLOOKUP(A47,'IN-04-14'!$A$5:$D$441,2)</f>
        <v>Conductor Cu preensamblado 3x95 + 1x50 m</v>
      </c>
      <c r="C47" s="4" t="str">
        <f>VLOOKUP(A47,'IN-04-14'!$A$5:$D$441,3)</f>
        <v>m</v>
      </c>
      <c r="D47" s="63">
        <v>1</v>
      </c>
      <c r="E47" s="61">
        <f>VLOOKUP(A47,'IN-04-14'!A48:D922,4)</f>
        <v>90.5526</v>
      </c>
      <c r="F47" s="72">
        <f t="shared" si="4"/>
        <v>90.5526</v>
      </c>
      <c r="G47" s="10"/>
    </row>
    <row r="48" spans="1:7" ht="12.75">
      <c r="A48" s="249" t="s">
        <v>880</v>
      </c>
      <c r="B48" s="4" t="str">
        <f>VLOOKUP(A48,'IN-04-14'!$A$5:$D$441,2)</f>
        <v>Jabalina tipo Cooperweld 1,50x3/4"</v>
      </c>
      <c r="C48" s="4" t="str">
        <f>VLOOKUP(A48,'IN-04-14'!$A$5:$D$441,3)</f>
        <v>u</v>
      </c>
      <c r="D48" s="63">
        <v>1.5</v>
      </c>
      <c r="E48" s="61">
        <f>VLOOKUP(A48,'IN-04-14'!A49:D923,4)</f>
        <v>159.04</v>
      </c>
      <c r="F48" s="72">
        <f t="shared" si="4"/>
        <v>238.56</v>
      </c>
      <c r="G48" s="10"/>
    </row>
    <row r="49" spans="1:7" ht="12.75">
      <c r="A49" s="249" t="s">
        <v>873</v>
      </c>
      <c r="B49" s="4" t="str">
        <f>VLOOKUP(A49,'IN-04-14'!$A$5:$D$441,2)</f>
        <v>Conductor desnudo de cobre de 16 mm²</v>
      </c>
      <c r="C49" s="4" t="str">
        <f>VLOOKUP(A49,'IN-04-14'!$A$5:$D$441,3)</f>
        <v>m</v>
      </c>
      <c r="D49" s="63">
        <v>22.091</v>
      </c>
      <c r="E49" s="61">
        <f>VLOOKUP(A49,'IN-04-14'!A50:D924,4)</f>
        <v>28.815</v>
      </c>
      <c r="F49" s="72">
        <f t="shared" si="4"/>
        <v>636.5521650000001</v>
      </c>
      <c r="G49" s="10"/>
    </row>
    <row r="50" spans="1:7" ht="12.75">
      <c r="A50" s="249" t="s">
        <v>881</v>
      </c>
      <c r="B50" s="4" t="str">
        <f>VLOOKUP(A50,'IN-04-14'!$A$5:$D$441,2)</f>
        <v>Cajas de derivación trifásica RBT</v>
      </c>
      <c r="C50" s="4" t="str">
        <f>VLOOKUP(A50,'IN-04-14'!$A$5:$D$441,3)</f>
        <v>u</v>
      </c>
      <c r="D50" s="63">
        <v>1</v>
      </c>
      <c r="E50" s="61">
        <f>VLOOKUP(A50,'IN-04-14'!A51:D925,4)</f>
        <v>2051.86</v>
      </c>
      <c r="F50" s="72">
        <f t="shared" si="4"/>
        <v>2051.86</v>
      </c>
      <c r="G50" s="10"/>
    </row>
    <row r="51" spans="1:7" ht="12.75">
      <c r="A51" s="249" t="s">
        <v>877</v>
      </c>
      <c r="B51" s="4" t="str">
        <f>VLOOKUP(A51,'IN-04-14'!$A$5:$D$441,2)</f>
        <v>Conductor prerreunido 4 x 10 mm²</v>
      </c>
      <c r="C51" s="4" t="str">
        <f>VLOOKUP(A51,'IN-04-14'!$A$5:$D$441,3)</f>
        <v>u</v>
      </c>
      <c r="D51" s="63">
        <v>1.05</v>
      </c>
      <c r="E51" s="61">
        <f>VLOOKUP(A51,'IN-04-14'!A52:D926,4)</f>
        <v>72.1572</v>
      </c>
      <c r="F51" s="72">
        <f t="shared" si="4"/>
        <v>75.76506</v>
      </c>
      <c r="G51" s="10"/>
    </row>
    <row r="52" spans="1:7" ht="12.75">
      <c r="A52" s="83" t="s">
        <v>351</v>
      </c>
      <c r="B52" s="9"/>
      <c r="C52" s="6"/>
      <c r="D52" s="56"/>
      <c r="E52" s="61"/>
      <c r="F52" s="72"/>
      <c r="G52" s="10"/>
    </row>
    <row r="53" spans="1:7" ht="12.75">
      <c r="A53" s="11" t="s">
        <v>1668</v>
      </c>
      <c r="B53" s="4" t="str">
        <f>VLOOKUP(A53,Insumos,2)</f>
        <v>cuadrilla tipo U.G.A.T.S.</v>
      </c>
      <c r="C53" s="6" t="str">
        <f>VLOOKUP(A53,Insumos,3)</f>
        <v>h</v>
      </c>
      <c r="D53" s="56">
        <v>30.32</v>
      </c>
      <c r="E53" s="61">
        <f>VLOOKUP(A53,'IN-04-14'!A54:D928,4)</f>
        <v>67.43</v>
      </c>
      <c r="F53" s="72">
        <f>(D53*E53)</f>
        <v>2044.4776000000002</v>
      </c>
      <c r="G53" s="10"/>
    </row>
    <row r="54" spans="1:7" ht="12.75">
      <c r="A54" s="83" t="s">
        <v>352</v>
      </c>
      <c r="B54" s="9"/>
      <c r="C54" s="6"/>
      <c r="D54" s="56"/>
      <c r="E54" s="61"/>
      <c r="F54" s="72"/>
      <c r="G54" s="10"/>
    </row>
    <row r="55" spans="1:7" ht="12.75">
      <c r="A55" s="11" t="s">
        <v>1956</v>
      </c>
      <c r="B55" s="4" t="str">
        <f>VLOOKUP(A55,Insumos,2)</f>
        <v>canasta 3 (retroexcavadora 87 HP)</v>
      </c>
      <c r="C55" s="6" t="str">
        <f>VLOOKUP(A55,Insumos,3)</f>
        <v>h</v>
      </c>
      <c r="D55" s="56">
        <v>2.604</v>
      </c>
      <c r="E55" s="61">
        <f>VLOOKUP(A55,'IN-04-14'!A56:D930,4)</f>
        <v>402.25</v>
      </c>
      <c r="F55" s="72">
        <f>(D55*E55)</f>
        <v>1047.459</v>
      </c>
      <c r="G55" s="10"/>
    </row>
    <row r="56" spans="1:7" ht="13.5" thickBot="1">
      <c r="A56" s="11"/>
      <c r="B56" s="12"/>
      <c r="C56" s="13"/>
      <c r="D56" s="56"/>
      <c r="E56" s="56"/>
      <c r="F56" s="72"/>
      <c r="G56" s="10"/>
    </row>
    <row r="57" spans="1:7" ht="13.5" thickTop="1">
      <c r="A57" s="76" t="s">
        <v>346</v>
      </c>
      <c r="B57" s="226" t="s">
        <v>295</v>
      </c>
      <c r="C57" s="81" t="str">
        <f>Fecha</f>
        <v>abr-2014</v>
      </c>
      <c r="D57" s="57"/>
      <c r="E57" s="57"/>
      <c r="F57" s="227">
        <f>SUM(F60:F66)</f>
        <v>48403.8003984</v>
      </c>
      <c r="G57" s="45"/>
    </row>
    <row r="58" spans="1:7" ht="13.5" thickBot="1">
      <c r="A58" s="34" t="s">
        <v>345</v>
      </c>
      <c r="B58" s="35" t="s">
        <v>296</v>
      </c>
      <c r="C58" s="35" t="s">
        <v>344</v>
      </c>
      <c r="D58" s="58" t="s">
        <v>306</v>
      </c>
      <c r="E58" s="59"/>
      <c r="F58" s="73"/>
      <c r="G58" s="47" t="s">
        <v>347</v>
      </c>
    </row>
    <row r="59" spans="1:7" ht="13.5" thickTop="1">
      <c r="A59" s="83" t="s">
        <v>350</v>
      </c>
      <c r="B59" s="9"/>
      <c r="C59" s="10"/>
      <c r="D59" s="56"/>
      <c r="E59" s="56"/>
      <c r="F59" s="72"/>
      <c r="G59" s="10"/>
    </row>
    <row r="60" spans="1:7" ht="12.75">
      <c r="A60" s="11" t="s">
        <v>303</v>
      </c>
      <c r="B60" s="4" t="str">
        <f>VLOOKUP(A60,'IN-04-14'!$A$5:$D$441,2)</f>
        <v>Artefacto Strand MB 70 con SAP 250 W</v>
      </c>
      <c r="C60" s="4" t="str">
        <f>VLOOKUP(A60,'IN-04-14'!$A$5:$D$441,3)</f>
        <v>u</v>
      </c>
      <c r="D60" s="56">
        <v>1.409</v>
      </c>
      <c r="E60" s="61">
        <f>VLOOKUP(A60,'IN-04-14'!A61:D935,4)</f>
        <v>2534.84</v>
      </c>
      <c r="F60" s="72">
        <f>(D60*E60)</f>
        <v>3571.5895600000003</v>
      </c>
      <c r="G60" s="10"/>
    </row>
    <row r="61" spans="1:7" ht="12.75">
      <c r="A61" s="249" t="s">
        <v>882</v>
      </c>
      <c r="B61" s="4" t="str">
        <f>VLOOKUP(A61,'IN-04-14'!$A$5:$D$441,2)</f>
        <v>Gabinete estanco PVC 600x600x300 c/cerrad. AºPº</v>
      </c>
      <c r="C61" s="4" t="str">
        <f>VLOOKUP(A61,'IN-04-14'!$A$5:$D$441,3)</f>
        <v>u</v>
      </c>
      <c r="D61" s="63">
        <v>2.217</v>
      </c>
      <c r="E61" s="61">
        <f>VLOOKUP(A61,'IN-04-14'!A62:D936,4)</f>
        <v>1890.2732</v>
      </c>
      <c r="F61" s="72">
        <f>(D61*E61)</f>
        <v>4190.7356844000005</v>
      </c>
      <c r="G61" s="10"/>
    </row>
    <row r="62" spans="1:7" ht="12.75">
      <c r="A62" s="249" t="s">
        <v>876</v>
      </c>
      <c r="B62" s="4" t="str">
        <f>VLOOKUP(A62,'IN-04-14'!$A$5:$D$441,2)</f>
        <v>Conductor CU forrado 1 x 35 mm²</v>
      </c>
      <c r="C62" s="4" t="str">
        <f>VLOOKUP(A62,'IN-04-14'!$A$5:$D$441,3)</f>
        <v>m</v>
      </c>
      <c r="D62" s="63">
        <v>551.81</v>
      </c>
      <c r="E62" s="61">
        <f>VLOOKUP(A62,'IN-04-14'!A63:D937,4)</f>
        <v>60.7104</v>
      </c>
      <c r="F62" s="72">
        <f>(D62*E62)</f>
        <v>33500.605824</v>
      </c>
      <c r="G62" s="10"/>
    </row>
    <row r="63" spans="1:7" ht="12.75">
      <c r="A63" s="83" t="s">
        <v>351</v>
      </c>
      <c r="B63" s="32"/>
      <c r="C63" s="36"/>
      <c r="D63" s="63"/>
      <c r="E63" s="61"/>
      <c r="F63" s="72"/>
      <c r="G63" s="10"/>
    </row>
    <row r="64" spans="1:7" ht="12.75">
      <c r="A64" s="11" t="s">
        <v>1668</v>
      </c>
      <c r="B64" s="4" t="str">
        <f>VLOOKUP(A64,Insumos,2)</f>
        <v>cuadrilla tipo U.G.A.T.S.</v>
      </c>
      <c r="C64" s="6" t="str">
        <f>VLOOKUP(A64,Insumos,3)</f>
        <v>h</v>
      </c>
      <c r="D64" s="56">
        <v>97.006</v>
      </c>
      <c r="E64" s="61">
        <f>VLOOKUP(A64,'IN-04-14'!A65:D939,4)</f>
        <v>67.43</v>
      </c>
      <c r="F64" s="72">
        <f>(D64*E64)</f>
        <v>6541.11458</v>
      </c>
      <c r="G64" s="10"/>
    </row>
    <row r="65" spans="1:7" ht="12.75">
      <c r="A65" s="83" t="s">
        <v>352</v>
      </c>
      <c r="B65" s="4"/>
      <c r="C65" s="6"/>
      <c r="D65" s="56"/>
      <c r="E65" s="61"/>
      <c r="F65" s="72"/>
      <c r="G65" s="10"/>
    </row>
    <row r="66" spans="1:8" ht="12.75">
      <c r="A66" s="11" t="s">
        <v>1956</v>
      </c>
      <c r="B66" s="4" t="str">
        <f>VLOOKUP(A66,Insumos,2)</f>
        <v>canasta 3 (retroexcavadora 87 HP)</v>
      </c>
      <c r="C66" s="6" t="str">
        <f>VLOOKUP(A66,Insumos,3)</f>
        <v>h</v>
      </c>
      <c r="D66" s="56">
        <v>1.491</v>
      </c>
      <c r="E66" s="61">
        <f>VLOOKUP(A66,'IN-04-14'!A67:D941,4)</f>
        <v>402.25</v>
      </c>
      <c r="F66" s="72">
        <f>(D66*E66)</f>
        <v>599.7547500000001</v>
      </c>
      <c r="G66" s="10"/>
      <c r="H66" s="87">
        <f>(F66*100)/F$57</f>
        <v>1.2390654144169744</v>
      </c>
    </row>
    <row r="67" spans="1:8" ht="12.75">
      <c r="A67" s="11"/>
      <c r="B67" s="4"/>
      <c r="C67" s="6"/>
      <c r="D67" s="56">
        <v>1.491</v>
      </c>
      <c r="E67" s="51"/>
      <c r="F67" s="72"/>
      <c r="G67" s="10"/>
      <c r="H67" s="1">
        <v>2.477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8"/>
  </sheetPr>
  <dimension ref="A1:J57"/>
  <sheetViews>
    <sheetView showGridLines="0" zoomScale="90" zoomScaleNormal="90" zoomScaleSheetLayoutView="75" zoomScalePageLayoutView="0" workbookViewId="0" topLeftCell="A1">
      <selection activeCell="A8" sqref="A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346</v>
      </c>
      <c r="B2" s="221" t="s">
        <v>201</v>
      </c>
      <c r="C2" s="79" t="str">
        <f>Fecha</f>
        <v>abr-2014</v>
      </c>
      <c r="D2" s="53"/>
      <c r="E2" s="53"/>
      <c r="F2" s="228">
        <f>SUM(F5:F13)</f>
        <v>186.30295500000003</v>
      </c>
      <c r="G2" s="43"/>
    </row>
    <row r="3" spans="1:7" ht="13.5" thickBot="1">
      <c r="A3" s="14" t="s">
        <v>345</v>
      </c>
      <c r="B3" s="14" t="s">
        <v>1806</v>
      </c>
      <c r="C3" s="80" t="s">
        <v>344</v>
      </c>
      <c r="D3" s="54" t="s">
        <v>1807</v>
      </c>
      <c r="E3" s="55"/>
      <c r="F3" s="71"/>
      <c r="G3" s="44" t="s">
        <v>1810</v>
      </c>
    </row>
    <row r="4" spans="1:7" ht="13.5" thickTop="1">
      <c r="A4" s="83" t="s">
        <v>350</v>
      </c>
      <c r="B4" s="9"/>
      <c r="C4" s="10"/>
      <c r="D4" s="56"/>
      <c r="E4" s="56"/>
      <c r="F4" s="72"/>
      <c r="G4" s="10"/>
    </row>
    <row r="5" spans="1:7" ht="12.75">
      <c r="A5" s="11" t="s">
        <v>1638</v>
      </c>
      <c r="B5" s="4" t="str">
        <f>VLOOKUP(A5,Insumos,2)</f>
        <v>hierro mejorado de 10 mm.</v>
      </c>
      <c r="C5" s="6" t="str">
        <f>VLOOKUP(A5,Insumos,3)</f>
        <v>kg</v>
      </c>
      <c r="D5" s="56">
        <v>1.4</v>
      </c>
      <c r="E5" s="51">
        <f>VLOOKUP(A5,'IN-04-14'!A6:D880,4)</f>
        <v>9.3933</v>
      </c>
      <c r="F5" s="72">
        <f>+D5*E5</f>
        <v>13.15062</v>
      </c>
      <c r="G5" s="10"/>
    </row>
    <row r="6" spans="1:7" ht="12.75">
      <c r="A6" s="11" t="s">
        <v>1639</v>
      </c>
      <c r="B6" s="4" t="str">
        <f>VLOOKUP(A6,Insumos,2)</f>
        <v>cemento Portland</v>
      </c>
      <c r="C6" s="6" t="str">
        <f>VLOOKUP(A6,Insumos,3)</f>
        <v>kg</v>
      </c>
      <c r="D6" s="56">
        <v>36.75</v>
      </c>
      <c r="E6" s="51">
        <f>VLOOKUP(A6,'IN-04-14'!A7:D881,4)</f>
        <v>1.65</v>
      </c>
      <c r="F6" s="72">
        <f>+D6*E6</f>
        <v>60.637499999999996</v>
      </c>
      <c r="G6" s="10"/>
    </row>
    <row r="7" spans="1:7" ht="12.75">
      <c r="A7" s="11" t="s">
        <v>1640</v>
      </c>
      <c r="B7" s="4" t="str">
        <f>VLOOKUP(A7,Insumos,2)</f>
        <v>ripio zarandeado 1/3</v>
      </c>
      <c r="C7" s="6" t="str">
        <f>VLOOKUP(A7,Insumos,3)</f>
        <v>m3</v>
      </c>
      <c r="D7" s="56">
        <v>0.074</v>
      </c>
      <c r="E7" s="51">
        <f>VLOOKUP(A7,'IN-04-14'!A8:D882,4)</f>
        <v>126.06</v>
      </c>
      <c r="F7" s="72">
        <f>+D7*E7</f>
        <v>9.32844</v>
      </c>
      <c r="G7" s="10"/>
    </row>
    <row r="8" spans="1:7" ht="12.75">
      <c r="A8" s="11" t="s">
        <v>1641</v>
      </c>
      <c r="B8" s="4" t="str">
        <f>VLOOKUP(A8,Insumos,2)</f>
        <v>arena gruesa</v>
      </c>
      <c r="C8" s="6" t="str">
        <f>VLOOKUP(A8,Insumos,3)</f>
        <v>m3</v>
      </c>
      <c r="D8" s="56">
        <v>0.063</v>
      </c>
      <c r="E8" s="51">
        <f>VLOOKUP(A8,'IN-04-14'!A9:D883,4)</f>
        <v>141.805</v>
      </c>
      <c r="F8" s="72">
        <f>+D8*E8</f>
        <v>8.933715000000001</v>
      </c>
      <c r="G8" s="10"/>
    </row>
    <row r="9" spans="1:7" ht="12.75">
      <c r="A9" s="83" t="s">
        <v>351</v>
      </c>
      <c r="B9" s="9"/>
      <c r="C9" s="10"/>
      <c r="D9" s="56"/>
      <c r="E9" s="51"/>
      <c r="F9" s="72"/>
      <c r="G9" s="10"/>
    </row>
    <row r="10" spans="1:7" ht="12.75">
      <c r="A10" s="11" t="s">
        <v>1636</v>
      </c>
      <c r="B10" s="4" t="str">
        <f>VLOOKUP(A10,Insumos,2)</f>
        <v>cuadrilla tipo UOCRA</v>
      </c>
      <c r="C10" s="6" t="str">
        <f>VLOOKUP(A10,Insumos,3)</f>
        <v>h</v>
      </c>
      <c r="D10" s="56">
        <v>1.1</v>
      </c>
      <c r="E10" s="51">
        <f>VLOOKUP(A10,'IN-04-14'!A11:D885,4)</f>
        <v>58.06</v>
      </c>
      <c r="F10" s="72">
        <f>+D10*E10</f>
        <v>63.86600000000001</v>
      </c>
      <c r="G10" s="10"/>
    </row>
    <row r="11" spans="1:7" ht="12.75">
      <c r="A11" s="83" t="s">
        <v>352</v>
      </c>
      <c r="B11" s="9"/>
      <c r="C11" s="10"/>
      <c r="D11" s="56"/>
      <c r="E11" s="51"/>
      <c r="F11" s="72"/>
      <c r="G11" s="10"/>
    </row>
    <row r="12" spans="1:7" ht="12.75">
      <c r="A12" s="11" t="s">
        <v>1637</v>
      </c>
      <c r="B12" s="4" t="str">
        <f>VLOOKUP(A12,Insumos,2)</f>
        <v>canasta 1 (camión volcador)</v>
      </c>
      <c r="C12" s="6" t="str">
        <f>VLOOKUP(A12,Insumos,3)</f>
        <v>h</v>
      </c>
      <c r="D12" s="56">
        <v>0.02</v>
      </c>
      <c r="E12" s="51">
        <f>VLOOKUP(A12,'IN-04-14'!A13:D887,4)</f>
        <v>501.17</v>
      </c>
      <c r="F12" s="72">
        <f>+D12*E12</f>
        <v>10.0234</v>
      </c>
      <c r="G12" s="10"/>
    </row>
    <row r="13" spans="1:7" ht="12.75">
      <c r="A13" s="11" t="s">
        <v>1642</v>
      </c>
      <c r="B13" s="4" t="str">
        <f>VLOOKUP(A13,Insumos,2)</f>
        <v>canasta 2 (mixer 5m3)</v>
      </c>
      <c r="C13" s="6" t="str">
        <f>VLOOKUP(A13,Insumos,3)</f>
        <v>h</v>
      </c>
      <c r="D13" s="56">
        <v>0.028</v>
      </c>
      <c r="E13" s="51">
        <f>VLOOKUP(A13,'IN-04-14'!A14:D888,4)</f>
        <v>727.26</v>
      </c>
      <c r="F13" s="72">
        <f>+D13*E13</f>
        <v>20.36328</v>
      </c>
      <c r="G13" s="10"/>
    </row>
    <row r="14" spans="1:7" ht="13.5" thickBot="1">
      <c r="A14" s="11"/>
      <c r="B14" s="4"/>
      <c r="C14" s="6"/>
      <c r="D14" s="56"/>
      <c r="E14" s="51"/>
      <c r="F14" s="72"/>
      <c r="G14" s="10"/>
    </row>
    <row r="15" spans="1:7" ht="13.5" thickTop="1">
      <c r="A15" s="74" t="s">
        <v>346</v>
      </c>
      <c r="B15" s="221" t="s">
        <v>203</v>
      </c>
      <c r="C15" s="79" t="str">
        <f>Fecha</f>
        <v>abr-2014</v>
      </c>
      <c r="D15" s="53"/>
      <c r="E15" s="53"/>
      <c r="F15" s="228">
        <f>SUM(F17:F28)</f>
        <v>245.96294253499372</v>
      </c>
      <c r="G15" s="43"/>
    </row>
    <row r="16" spans="1:7" ht="13.5" thickBot="1">
      <c r="A16" s="7" t="s">
        <v>345</v>
      </c>
      <c r="B16" s="14" t="s">
        <v>1806</v>
      </c>
      <c r="C16" s="78" t="s">
        <v>344</v>
      </c>
      <c r="D16" s="49" t="s">
        <v>1909</v>
      </c>
      <c r="E16" s="50"/>
      <c r="F16" s="68"/>
      <c r="G16" s="42" t="s">
        <v>1937</v>
      </c>
    </row>
    <row r="17" spans="1:6" ht="13.5" thickTop="1">
      <c r="A17" s="82" t="s">
        <v>350</v>
      </c>
      <c r="D17" s="51"/>
      <c r="E17" s="51"/>
      <c r="F17" s="69"/>
    </row>
    <row r="18" spans="1:8" ht="12.75">
      <c r="A18" s="3" t="s">
        <v>1910</v>
      </c>
      <c r="B18" s="4" t="str">
        <f>VLOOKUP(A18,'IN-04-14'!$A$5:$D$441,2)</f>
        <v>adoquines para pavimento</v>
      </c>
      <c r="C18" s="4" t="str">
        <f>VLOOKUP(A18,'IN-04-14'!$A$5:$D$441,3)</f>
        <v>m2</v>
      </c>
      <c r="D18" s="51">
        <v>1.1</v>
      </c>
      <c r="E18" s="51">
        <f>VLOOKUP(A18,'IN-04-14'!A19:D893,4)</f>
        <v>103.31</v>
      </c>
      <c r="F18" s="69">
        <f>(D18*E18)</f>
        <v>113.641</v>
      </c>
      <c r="H18" s="87"/>
    </row>
    <row r="19" spans="1:8" ht="12.75">
      <c r="A19" s="3" t="s">
        <v>1911</v>
      </c>
      <c r="B19" s="4" t="str">
        <f>VLOOKUP(A19,Insumos,2)</f>
        <v>arena mediana</v>
      </c>
      <c r="C19" s="6" t="str">
        <f>VLOOKUP(A19,Insumos,3)</f>
        <v>m3</v>
      </c>
      <c r="D19" s="51">
        <v>0.045</v>
      </c>
      <c r="E19" s="51">
        <f>VLOOKUP(A19,'IN-04-14'!A20:D894,4)</f>
        <v>155.9867</v>
      </c>
      <c r="F19" s="69">
        <f>(D19*E19)</f>
        <v>7.019401500000001</v>
      </c>
      <c r="H19" s="87"/>
    </row>
    <row r="20" spans="1:9" ht="12.75">
      <c r="A20" s="3" t="s">
        <v>1912</v>
      </c>
      <c r="B20" s="4" t="str">
        <f>VLOOKUP(A20,Insumos,2)</f>
        <v>enlame</v>
      </c>
      <c r="C20" s="6" t="str">
        <f>VLOOKUP(A20,Insumos,3)</f>
        <v>m3</v>
      </c>
      <c r="D20" s="51">
        <v>0.035</v>
      </c>
      <c r="E20" s="51">
        <f>VLOOKUP(A20,'IN-04-14'!A21:D895,4)</f>
        <v>119.485</v>
      </c>
      <c r="F20" s="69">
        <f>(D20*E20)</f>
        <v>4.181975</v>
      </c>
      <c r="H20" s="87"/>
      <c r="I20" s="87"/>
    </row>
    <row r="21" spans="1:6" ht="12.75">
      <c r="A21" s="82" t="s">
        <v>351</v>
      </c>
      <c r="D21" s="51"/>
      <c r="E21" s="51"/>
      <c r="F21" s="69"/>
    </row>
    <row r="22" spans="1:9" ht="12.75">
      <c r="A22" s="3" t="s">
        <v>1636</v>
      </c>
      <c r="B22" s="4" t="str">
        <f>VLOOKUP(A22,Insumos,2)</f>
        <v>cuadrilla tipo UOCRA</v>
      </c>
      <c r="C22" s="6" t="str">
        <f>VLOOKUP(A22,Insumos,3)</f>
        <v>h</v>
      </c>
      <c r="D22" s="51">
        <f>(0.05+0.009+0.009+0.03)+(0.018+0.018+0.3)+(0.017+0.027+0.027+0.3)</f>
        <v>0.8049999999999999</v>
      </c>
      <c r="E22" s="51">
        <f>VLOOKUP(A22,'IN-04-14'!A23:D897,4)</f>
        <v>58.06</v>
      </c>
      <c r="F22" s="69">
        <f>(D22*E22)</f>
        <v>46.738299999999995</v>
      </c>
      <c r="H22" s="87"/>
      <c r="I22" s="87"/>
    </row>
    <row r="23" spans="1:6" ht="12.75">
      <c r="A23" s="82" t="s">
        <v>352</v>
      </c>
      <c r="D23" s="51"/>
      <c r="E23" s="51"/>
      <c r="F23" s="69"/>
    </row>
    <row r="24" spans="1:10" ht="12.75">
      <c r="A24" s="3" t="s">
        <v>1814</v>
      </c>
      <c r="B24" s="4" t="str">
        <f>VLOOKUP(A24,Insumos,2)</f>
        <v>motoniveladora</v>
      </c>
      <c r="C24" s="6" t="str">
        <f>VLOOKUP(A24,Insumos,3)</f>
        <v>h</v>
      </c>
      <c r="D24" s="51">
        <v>0.013114580435639995</v>
      </c>
      <c r="E24" s="51">
        <f>VLOOKUP(A24,'IN-04-14'!A25:D899,4)</f>
        <v>623</v>
      </c>
      <c r="F24" s="69">
        <f>(D24*E24)</f>
        <v>8.170383611403716</v>
      </c>
      <c r="H24" s="87"/>
      <c r="J24" s="87"/>
    </row>
    <row r="25" spans="1:10" ht="12.75">
      <c r="A25" s="3" t="s">
        <v>1913</v>
      </c>
      <c r="B25" s="4" t="str">
        <f>VLOOKUP(A25,Insumos,2)</f>
        <v>retroexcavadora 87 H.P.</v>
      </c>
      <c r="C25" s="6" t="str">
        <f>VLOOKUP(A25,Insumos,3)</f>
        <v>h</v>
      </c>
      <c r="D25" s="51">
        <v>0.064407161695032</v>
      </c>
      <c r="E25" s="51">
        <f>VLOOKUP(A25,'IN-04-14'!A26:D900,4)</f>
        <v>402.25</v>
      </c>
      <c r="F25" s="69">
        <f>(D25*E25)</f>
        <v>25.90778079182662</v>
      </c>
      <c r="H25" s="87"/>
      <c r="J25" s="87"/>
    </row>
    <row r="26" spans="1:10" ht="12.75">
      <c r="A26" s="3" t="s">
        <v>2015</v>
      </c>
      <c r="B26" s="4" t="str">
        <f>VLOOKUP(A26,Insumos,2)</f>
        <v>camión volcador 140 H.P.</v>
      </c>
      <c r="C26" s="6" t="str">
        <f>VLOOKUP(A26,Insumos,3)</f>
        <v>h</v>
      </c>
      <c r="D26" s="51">
        <v>0.06411572657423999</v>
      </c>
      <c r="E26" s="51">
        <f>VLOOKUP(A26,'IN-04-14'!A27:D901,4)</f>
        <v>501.17</v>
      </c>
      <c r="F26" s="69">
        <f>(D26*E26)</f>
        <v>32.13287868721186</v>
      </c>
      <c r="H26" s="87"/>
      <c r="J26" s="87"/>
    </row>
    <row r="27" spans="1:10" ht="12.75">
      <c r="A27" s="3" t="s">
        <v>2019</v>
      </c>
      <c r="B27" s="4" t="str">
        <f>VLOOKUP(A27,Insumos,2)</f>
        <v>rodillo neumático autopropulsado 70 HP</v>
      </c>
      <c r="C27" s="6" t="str">
        <f>VLOOKUP(A27,Insumos,3)</f>
        <v>h</v>
      </c>
      <c r="D27" s="51">
        <v>0.011365969710888</v>
      </c>
      <c r="E27" s="51">
        <f>VLOOKUP(A27,'IN-04-14'!A28:D902,4)</f>
        <v>299.78</v>
      </c>
      <c r="F27" s="69">
        <f>(D27*E27)</f>
        <v>3.4072903999300044</v>
      </c>
      <c r="H27" s="87"/>
      <c r="J27" s="87"/>
    </row>
    <row r="28" spans="1:10" ht="12.75">
      <c r="A28" s="3" t="s">
        <v>1815</v>
      </c>
      <c r="B28" s="4" t="str">
        <f>VLOOKUP(A28,Insumos,2)</f>
        <v>vibrocompactador autopropulsado 120 HP</v>
      </c>
      <c r="C28" s="6" t="str">
        <f>VLOOKUP(A28,Insumos,3)</f>
        <v>h</v>
      </c>
      <c r="D28" s="51">
        <v>0.011365969710888</v>
      </c>
      <c r="E28" s="51">
        <f>VLOOKUP(A28,'IN-04-14'!A29:D903,4)</f>
        <v>419.14</v>
      </c>
      <c r="F28" s="69">
        <f>(D28*E28)</f>
        <v>4.763932544621596</v>
      </c>
      <c r="H28" s="87"/>
      <c r="I28" s="87"/>
      <c r="J28" s="87"/>
    </row>
    <row r="29" ht="13.5" thickBot="1"/>
    <row r="30" spans="1:7" ht="13.5" thickTop="1">
      <c r="A30" s="74" t="s">
        <v>346</v>
      </c>
      <c r="B30" s="221" t="s">
        <v>202</v>
      </c>
      <c r="C30" s="79" t="str">
        <f>Fecha</f>
        <v>abr-2014</v>
      </c>
      <c r="D30" s="53"/>
      <c r="E30" s="53"/>
      <c r="F30" s="228">
        <f>SUM(F33:F46)</f>
        <v>219.236426</v>
      </c>
      <c r="G30" s="43"/>
    </row>
    <row r="31" spans="1:7" ht="13.5" thickBot="1">
      <c r="A31" s="7" t="s">
        <v>345</v>
      </c>
      <c r="B31" s="7" t="s">
        <v>1806</v>
      </c>
      <c r="C31" s="78" t="s">
        <v>344</v>
      </c>
      <c r="D31" s="49" t="s">
        <v>200</v>
      </c>
      <c r="E31" s="50"/>
      <c r="F31" s="68"/>
      <c r="G31" s="42" t="s">
        <v>1937</v>
      </c>
    </row>
    <row r="32" spans="4:6" ht="13.5" thickTop="1">
      <c r="D32" s="51"/>
      <c r="E32" s="51"/>
      <c r="F32" s="69"/>
    </row>
    <row r="33" spans="1:6" ht="12.75">
      <c r="A33" s="82" t="s">
        <v>350</v>
      </c>
      <c r="D33" s="51"/>
      <c r="E33" s="51"/>
      <c r="F33" s="69"/>
    </row>
    <row r="34" spans="1:8" ht="12.75">
      <c r="A34" s="11" t="s">
        <v>1639</v>
      </c>
      <c r="B34" s="4" t="str">
        <f>VLOOKUP(A34,Insumos,2)</f>
        <v>cemento Portland</v>
      </c>
      <c r="C34" s="6" t="str">
        <f>VLOOKUP(A34,Insumos,3)</f>
        <v>kg</v>
      </c>
      <c r="D34" s="56">
        <f>350*0.15</f>
        <v>52.5</v>
      </c>
      <c r="E34" s="51">
        <f>VLOOKUP(A34,'IN-04-14'!A35:D909,4)</f>
        <v>1.65</v>
      </c>
      <c r="F34" s="72">
        <f>(D34*E34)</f>
        <v>86.625</v>
      </c>
      <c r="G34" s="10"/>
      <c r="H34" s="87"/>
    </row>
    <row r="35" spans="1:8" ht="12.75">
      <c r="A35" s="11" t="s">
        <v>1640</v>
      </c>
      <c r="B35" s="4" t="str">
        <f>VLOOKUP(A35,Insumos,2)</f>
        <v>ripio zarandeado 1/3</v>
      </c>
      <c r="C35" s="6" t="str">
        <f>VLOOKUP(A35,Insumos,3)</f>
        <v>m3</v>
      </c>
      <c r="D35" s="56">
        <f>0.7*0.15</f>
        <v>0.105</v>
      </c>
      <c r="E35" s="51">
        <f>VLOOKUP(A35,'IN-04-14'!A36:D910,4)</f>
        <v>126.06</v>
      </c>
      <c r="F35" s="72">
        <f>(D35*E35)</f>
        <v>13.2363</v>
      </c>
      <c r="G35" s="10"/>
      <c r="H35" s="87"/>
    </row>
    <row r="36" spans="1:8" ht="12.75">
      <c r="A36" s="11" t="s">
        <v>1641</v>
      </c>
      <c r="B36" s="4" t="str">
        <f>VLOOKUP(A36,Insumos,2)</f>
        <v>arena gruesa</v>
      </c>
      <c r="C36" s="6" t="str">
        <f>VLOOKUP(A36,Insumos,3)</f>
        <v>m3</v>
      </c>
      <c r="D36" s="56">
        <f>0.6*0.15</f>
        <v>0.09</v>
      </c>
      <c r="E36" s="51">
        <f>VLOOKUP(A36,'IN-04-14'!A37:D911,4)</f>
        <v>141.805</v>
      </c>
      <c r="F36" s="72">
        <f>(D36*E36)</f>
        <v>12.76245</v>
      </c>
      <c r="G36" s="10"/>
      <c r="H36" s="87"/>
    </row>
    <row r="37" spans="1:8" ht="12.75">
      <c r="A37" s="11" t="s">
        <v>1638</v>
      </c>
      <c r="B37" s="4" t="str">
        <f>VLOOKUP(A37,Insumos,2)</f>
        <v>hierro mejorado de 10 mm.</v>
      </c>
      <c r="C37" s="6" t="str">
        <f>VLOOKUP(A37,Insumos,3)</f>
        <v>kg</v>
      </c>
      <c r="D37" s="56">
        <v>0.9</v>
      </c>
      <c r="E37" s="51">
        <f>VLOOKUP(A37,'IN-04-14'!A7:D912,4)</f>
        <v>9.3933</v>
      </c>
      <c r="F37" s="72">
        <f>(D37*E37)</f>
        <v>8.45397</v>
      </c>
      <c r="H37" s="87"/>
    </row>
    <row r="38" spans="1:9" ht="12.75">
      <c r="A38" s="2" t="s">
        <v>44</v>
      </c>
      <c r="B38" s="4" t="str">
        <f>VLOOKUP(A38,Insumos,2)</f>
        <v>asfalto plástico p/juntas de pavimento</v>
      </c>
      <c r="C38" s="6" t="str">
        <f>VLOOKUP(A38,Insumos,3)</f>
        <v>kg</v>
      </c>
      <c r="D38" s="51">
        <v>0.96</v>
      </c>
      <c r="E38" s="51">
        <f>VLOOKUP(A38,'IN-04-14'!A35:D913,4)</f>
        <v>9.16</v>
      </c>
      <c r="F38" s="72">
        <f>(D38*E38)</f>
        <v>8.7936</v>
      </c>
      <c r="H38" s="87"/>
      <c r="I38" s="87"/>
    </row>
    <row r="39" spans="1:8" ht="12.75">
      <c r="A39" s="82" t="s">
        <v>351</v>
      </c>
      <c r="D39" s="51"/>
      <c r="E39" s="51"/>
      <c r="F39" s="69"/>
      <c r="H39" s="87"/>
    </row>
    <row r="40" spans="1:9" ht="12.75">
      <c r="A40" s="3" t="s">
        <v>1636</v>
      </c>
      <c r="B40" s="4" t="str">
        <f>VLOOKUP(A40,Insumos,2)</f>
        <v>cuadrilla tipo UOCRA</v>
      </c>
      <c r="C40" s="6" t="str">
        <f>VLOOKUP(A40,Insumos,3)</f>
        <v>h</v>
      </c>
      <c r="D40" s="51">
        <v>0.66</v>
      </c>
      <c r="E40" s="51">
        <f>VLOOKUP(A40,'IN-04-14'!A41:D915,4)</f>
        <v>58.06</v>
      </c>
      <c r="F40" s="69">
        <f>(D40*E40)</f>
        <v>38.3196</v>
      </c>
      <c r="H40" s="87"/>
      <c r="I40" s="87"/>
    </row>
    <row r="41" spans="1:8" ht="12.75">
      <c r="A41" s="82" t="s">
        <v>352</v>
      </c>
      <c r="D41" s="51"/>
      <c r="E41" s="51"/>
      <c r="F41" s="69"/>
      <c r="H41" s="87"/>
    </row>
    <row r="42" spans="1:8" ht="12.75">
      <c r="A42" s="3" t="s">
        <v>1814</v>
      </c>
      <c r="B42" s="4" t="str">
        <f>VLOOKUP(A42,Insumos,2)</f>
        <v>motoniveladora</v>
      </c>
      <c r="C42" s="6" t="str">
        <f>VLOOKUP(A42,Insumos,3)</f>
        <v>h</v>
      </c>
      <c r="D42" s="51">
        <v>0.009</v>
      </c>
      <c r="E42" s="51">
        <f>VLOOKUP(A42,'IN-04-14'!A43:D917,4)</f>
        <v>623</v>
      </c>
      <c r="F42" s="69">
        <f>(D42*E42)</f>
        <v>5.606999999999999</v>
      </c>
      <c r="H42" s="87"/>
    </row>
    <row r="43" spans="1:8" ht="12.75">
      <c r="A43" s="3" t="s">
        <v>1913</v>
      </c>
      <c r="B43" s="4" t="str">
        <f>VLOOKUP(A43,Insumos,2)</f>
        <v>retroexcavadora 87 H.P.</v>
      </c>
      <c r="C43" s="6" t="str">
        <f>VLOOKUP(A43,Insumos,3)</f>
        <v>h</v>
      </c>
      <c r="D43" s="51">
        <v>0.0442</v>
      </c>
      <c r="E43" s="51">
        <f>VLOOKUP(A43,'IN-04-14'!A44:D918,4)</f>
        <v>402.25</v>
      </c>
      <c r="F43" s="69">
        <f>(D43*E43)</f>
        <v>17.77945</v>
      </c>
      <c r="H43" s="87"/>
    </row>
    <row r="44" spans="1:8" ht="12.75">
      <c r="A44" s="3" t="s">
        <v>2015</v>
      </c>
      <c r="B44" s="4" t="str">
        <f>VLOOKUP(A44,Insumos,2)</f>
        <v>camión volcador 140 H.P.</v>
      </c>
      <c r="C44" s="6" t="str">
        <f>VLOOKUP(A44,Insumos,3)</f>
        <v>h</v>
      </c>
      <c r="D44" s="51">
        <v>0.044</v>
      </c>
      <c r="E44" s="51">
        <f>VLOOKUP(A44,'IN-04-14'!A45:D919,4)</f>
        <v>501.17</v>
      </c>
      <c r="F44" s="69">
        <f>(D44*E44)</f>
        <v>22.051479999999998</v>
      </c>
      <c r="H44" s="87"/>
    </row>
    <row r="45" spans="1:8" ht="12.75">
      <c r="A45" s="3" t="s">
        <v>2019</v>
      </c>
      <c r="B45" s="4" t="str">
        <f>VLOOKUP(A45,Insumos,2)</f>
        <v>rodillo neumático autopropulsado 70 HP</v>
      </c>
      <c r="C45" s="6" t="str">
        <f>VLOOKUP(A45,Insumos,3)</f>
        <v>h</v>
      </c>
      <c r="D45" s="51">
        <v>0.0078000000000000005</v>
      </c>
      <c r="E45" s="51">
        <f>VLOOKUP(A45,'IN-04-14'!A46:D920,4)</f>
        <v>299.78</v>
      </c>
      <c r="F45" s="69">
        <f>(D45*E45)</f>
        <v>2.338284</v>
      </c>
      <c r="H45" s="87"/>
    </row>
    <row r="46" spans="1:9" ht="12.75">
      <c r="A46" s="3" t="s">
        <v>1815</v>
      </c>
      <c r="B46" s="4" t="str">
        <f>VLOOKUP(A46,Insumos,2)</f>
        <v>vibrocompactador autopropulsado 120 HP</v>
      </c>
      <c r="C46" s="6" t="str">
        <f>VLOOKUP(A46,Insumos,3)</f>
        <v>h</v>
      </c>
      <c r="D46" s="51">
        <v>0.0078000000000000005</v>
      </c>
      <c r="E46" s="51">
        <f>VLOOKUP(A46,'IN-04-14'!A47:D921,4)</f>
        <v>419.14</v>
      </c>
      <c r="F46" s="69">
        <f>(D46*E46)</f>
        <v>3.269292</v>
      </c>
      <c r="H46" s="87"/>
      <c r="I46" s="87"/>
    </row>
    <row r="47" ht="13.5" thickBot="1">
      <c r="H47" s="87"/>
    </row>
    <row r="48" spans="1:7" ht="13.5" thickTop="1">
      <c r="A48" s="74" t="s">
        <v>346</v>
      </c>
      <c r="B48" s="221" t="s">
        <v>204</v>
      </c>
      <c r="C48" s="79" t="str">
        <f>Fecha</f>
        <v>abr-2014</v>
      </c>
      <c r="D48" s="53"/>
      <c r="E48" s="53"/>
      <c r="F48" s="228">
        <f>SUM(F51:F57)</f>
        <v>63.46429500000001</v>
      </c>
      <c r="G48" s="43"/>
    </row>
    <row r="49" spans="1:7" ht="13.5" thickBot="1">
      <c r="A49" s="7" t="s">
        <v>345</v>
      </c>
      <c r="B49" s="7" t="s">
        <v>1806</v>
      </c>
      <c r="C49" s="78" t="s">
        <v>344</v>
      </c>
      <c r="D49" s="49" t="s">
        <v>199</v>
      </c>
      <c r="E49" s="50"/>
      <c r="F49" s="68"/>
      <c r="G49" s="42" t="s">
        <v>1937</v>
      </c>
    </row>
    <row r="50" spans="4:6" ht="13.5" thickTop="1">
      <c r="D50" s="51"/>
      <c r="E50" s="51"/>
      <c r="F50" s="69"/>
    </row>
    <row r="51" spans="1:6" ht="12.75">
      <c r="A51" s="82" t="s">
        <v>350</v>
      </c>
      <c r="D51" s="51"/>
      <c r="E51" s="51"/>
      <c r="F51" s="69"/>
    </row>
    <row r="52" spans="1:6" ht="12.75">
      <c r="A52" s="3" t="s">
        <v>1651</v>
      </c>
      <c r="B52" s="4" t="str">
        <f>VLOOKUP(A52,Insumos,2)</f>
        <v>ripiosa</v>
      </c>
      <c r="C52" s="6" t="str">
        <f>VLOOKUP(A52,Insumos,3)</f>
        <v>m3</v>
      </c>
      <c r="D52" s="51">
        <v>0.13</v>
      </c>
      <c r="E52" s="51">
        <f>VLOOKUP(A52,'IN-04-14'!A45:D927,4)</f>
        <v>142.07</v>
      </c>
      <c r="F52" s="69">
        <f>(D52*E52)</f>
        <v>18.4691</v>
      </c>
    </row>
    <row r="53" spans="1:6" ht="12.75">
      <c r="A53" s="82" t="s">
        <v>351</v>
      </c>
      <c r="D53" s="51"/>
      <c r="E53" s="51"/>
      <c r="F53" s="69"/>
    </row>
    <row r="54" spans="1:6" ht="12.75">
      <c r="A54" s="3" t="s">
        <v>1636</v>
      </c>
      <c r="B54" s="4" t="str">
        <f>VLOOKUP(A54,Insumos,2)</f>
        <v>cuadrilla tipo UOCRA</v>
      </c>
      <c r="C54" s="6" t="str">
        <f>VLOOKUP(A54,Insumos,3)</f>
        <v>h</v>
      </c>
      <c r="D54" s="51">
        <f>(0.05+0.009+0.009+0.03)+(0.018+0.018+0.3)+(0.017+0.027+0.027+0.3)/4</f>
        <v>0.5267499999999999</v>
      </c>
      <c r="E54" s="51">
        <f>VLOOKUP(A54,'IN-04-14'!A55:D929,4)</f>
        <v>58.06</v>
      </c>
      <c r="F54" s="69">
        <f>(D54*E54)</f>
        <v>30.583104999999996</v>
      </c>
    </row>
    <row r="55" spans="1:6" ht="12.75">
      <c r="A55" s="82" t="s">
        <v>352</v>
      </c>
      <c r="D55" s="51"/>
      <c r="E55" s="51"/>
      <c r="F55" s="69"/>
    </row>
    <row r="56" spans="1:6" ht="12.75">
      <c r="A56" s="3" t="s">
        <v>1814</v>
      </c>
      <c r="B56" s="4" t="str">
        <f>VLOOKUP(A56,Insumos,2)</f>
        <v>motoniveladora</v>
      </c>
      <c r="C56" s="6" t="str">
        <f>VLOOKUP(A56,Insumos,3)</f>
        <v>h</v>
      </c>
      <c r="D56" s="51">
        <f>0.0312/5</f>
        <v>0.00624</v>
      </c>
      <c r="E56" s="51">
        <f>VLOOKUP(A56,'IN-04-14'!A57:D931,4)</f>
        <v>623</v>
      </c>
      <c r="F56" s="69">
        <f>(D56*E56)</f>
        <v>3.88752</v>
      </c>
    </row>
    <row r="57" spans="1:6" ht="12.75">
      <c r="A57" s="3" t="s">
        <v>2015</v>
      </c>
      <c r="B57" s="4" t="str">
        <f>VLOOKUP(A57,Insumos,2)</f>
        <v>camión volcador 140 H.P.</v>
      </c>
      <c r="C57" s="6" t="str">
        <f>VLOOKUP(A57,Insumos,3)</f>
        <v>h</v>
      </c>
      <c r="D57" s="51">
        <v>0.021</v>
      </c>
      <c r="E57" s="51">
        <f>VLOOKUP(A57,'IN-04-14'!A58:D932,4)</f>
        <v>501.17</v>
      </c>
      <c r="F57" s="69">
        <f>(D57*E57)</f>
        <v>10.52457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Q93"/>
  <sheetViews>
    <sheetView zoomScale="70" zoomScaleNormal="70" zoomScalePageLayoutView="0" workbookViewId="0" topLeftCell="A1">
      <selection activeCell="P19" sqref="P19"/>
    </sheetView>
  </sheetViews>
  <sheetFormatPr defaultColWidth="11.19921875" defaultRowHeight="15"/>
  <cols>
    <col min="1" max="1" width="7" style="0" customWidth="1"/>
    <col min="2" max="2" width="14.69921875" style="0" hidden="1" customWidth="1"/>
    <col min="3" max="3" width="9.296875" style="0" hidden="1" customWidth="1"/>
    <col min="4" max="4" width="8.59765625" style="0" hidden="1" customWidth="1"/>
    <col min="5" max="5" width="10.09765625" style="0" hidden="1" customWidth="1"/>
    <col min="6" max="6" width="10.296875" style="0" hidden="1" customWidth="1"/>
    <col min="7" max="7" width="10.59765625" style="0" hidden="1" customWidth="1"/>
    <col min="8" max="8" width="9.69921875" style="0" hidden="1" customWidth="1"/>
    <col min="9" max="9" width="10.8984375" style="0" hidden="1" customWidth="1"/>
    <col min="10" max="10" width="9.796875" style="0" hidden="1" customWidth="1"/>
    <col min="11" max="12" width="11.19921875" style="0" hidden="1" customWidth="1"/>
    <col min="13" max="13" width="9.296875" style="0" bestFit="1" customWidth="1"/>
    <col min="16" max="16" width="10.59765625" style="95" customWidth="1"/>
    <col min="17" max="17" width="9.796875" style="0" customWidth="1"/>
  </cols>
  <sheetData>
    <row r="1" spans="1:16" ht="15">
      <c r="A1" s="197" t="s">
        <v>1197</v>
      </c>
      <c r="B1" s="198"/>
      <c r="C1" s="197"/>
      <c r="D1" s="197"/>
      <c r="E1" s="199" t="str">
        <f>Fecha</f>
        <v>abr-2014</v>
      </c>
      <c r="F1" s="197"/>
      <c r="G1" s="197"/>
      <c r="H1" s="197"/>
      <c r="I1" s="197"/>
      <c r="J1" s="197"/>
      <c r="K1" s="197"/>
      <c r="L1" s="197"/>
      <c r="M1" s="200"/>
      <c r="N1" s="175"/>
      <c r="O1" s="175"/>
      <c r="P1" s="177" t="str">
        <f>+Fecha</f>
        <v>abr-2014</v>
      </c>
    </row>
    <row r="2" spans="1:13" ht="15" hidden="1">
      <c r="A2" s="4" t="s">
        <v>1202</v>
      </c>
      <c r="B2" s="4" t="str">
        <f>VLOOKUP(A2,Insumos,2)</f>
        <v>equipo acoplado p/camion 1218-42</v>
      </c>
      <c r="C2" s="101">
        <f>VLOOKUP(A2,Insumos,4)</f>
        <v>87649.77</v>
      </c>
      <c r="D2" s="4" t="s">
        <v>1203</v>
      </c>
      <c r="E2" s="4" t="str">
        <f>VLOOKUP(D2,Insumos,2)</f>
        <v>equipo acoplado p/camion 1620-45</v>
      </c>
      <c r="G2" s="101">
        <f>VLOOKUP(D2,Insumos,4)</f>
        <v>87649.77</v>
      </c>
      <c r="M2" s="94"/>
    </row>
    <row r="3" spans="1:13" ht="15" hidden="1">
      <c r="A3" s="4" t="s">
        <v>1188</v>
      </c>
      <c r="B3" s="4" t="str">
        <f>VLOOKUP(A3,Insumos,2)</f>
        <v>camión M. Benz 1218-42</v>
      </c>
      <c r="C3" s="101">
        <f>VLOOKUP(A3,Insumos,4)</f>
        <v>601238.85</v>
      </c>
      <c r="D3" s="4" t="s">
        <v>1195</v>
      </c>
      <c r="E3" s="4" t="str">
        <f>VLOOKUP(D3,Insumos,2)</f>
        <v>chofer</v>
      </c>
      <c r="G3" s="101">
        <f>VLOOKUP(D3,Insumos,4)</f>
        <v>74.26</v>
      </c>
      <c r="H3" s="90" t="s">
        <v>1190</v>
      </c>
      <c r="I3" s="4" t="str">
        <f>VLOOKUP(H3,Insumos,2)</f>
        <v>cubierta 900x20 c/tacos</v>
      </c>
      <c r="K3" s="102">
        <f>VLOOKUP(H3,Insumos,4)</f>
        <v>4504.4067</v>
      </c>
      <c r="M3" s="94"/>
    </row>
    <row r="4" spans="1:13" ht="15" hidden="1">
      <c r="A4" s="4" t="s">
        <v>1189</v>
      </c>
      <c r="B4" s="4" t="str">
        <f>VLOOKUP(A4,Insumos,2)</f>
        <v>camión M. Benz 1620-45</v>
      </c>
      <c r="C4" s="101">
        <f>VLOOKUP(A4,Insumos,4)</f>
        <v>672800.14</v>
      </c>
      <c r="D4" t="s">
        <v>1193</v>
      </c>
      <c r="E4" s="4" t="str">
        <f>VLOOKUP(D4,Insumos,2)</f>
        <v>seguro 1218-42($/año)</v>
      </c>
      <c r="G4" s="102">
        <f>VLOOKUP(D4,Insumos,4)</f>
        <v>10277.56</v>
      </c>
      <c r="H4" s="90" t="s">
        <v>1191</v>
      </c>
      <c r="I4" s="4" t="str">
        <f>VLOOKUP(H4,Insumos,2)</f>
        <v>cubierta 1000x20 c/tacos</v>
      </c>
      <c r="K4" s="102">
        <f>VLOOKUP(H4,Insumos,4)</f>
        <v>5617.3567</v>
      </c>
      <c r="M4" s="94"/>
    </row>
    <row r="5" spans="1:13" ht="15" hidden="1">
      <c r="A5" s="4" t="s">
        <v>2012</v>
      </c>
      <c r="B5" s="4" t="str">
        <f>VLOOKUP(A5,Insumos,2)</f>
        <v>gasoil</v>
      </c>
      <c r="C5" s="101">
        <f>VLOOKUP(A5,Insumos,4)</f>
        <v>8.3</v>
      </c>
      <c r="D5" t="s">
        <v>1194</v>
      </c>
      <c r="E5" s="4" t="str">
        <f>VLOOKUP(D5,Insumos,2)</f>
        <v>seguro 1620-45($/año)</v>
      </c>
      <c r="G5" s="102">
        <f>VLOOKUP(D5,Insumos,4)</f>
        <v>11580.08</v>
      </c>
      <c r="H5" s="90" t="s">
        <v>1192</v>
      </c>
      <c r="I5" s="4" t="str">
        <f>VLOOKUP(H5,Insumos,2)</f>
        <v>cubierta 1100x20 c/tacos</v>
      </c>
      <c r="K5" s="102">
        <f>VLOOKUP(H5,Insumos,4)</f>
        <v>6279.34</v>
      </c>
      <c r="M5" s="94"/>
    </row>
    <row r="6" spans="2:13" ht="9.75" customHeight="1">
      <c r="B6" s="93"/>
      <c r="M6" s="94"/>
    </row>
    <row r="7" spans="1:17" ht="15" customHeight="1">
      <c r="A7" s="95" t="s">
        <v>1186</v>
      </c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7" t="s">
        <v>1187</v>
      </c>
      <c r="P7" s="95" t="s">
        <v>1186</v>
      </c>
      <c r="Q7" t="s">
        <v>1187</v>
      </c>
    </row>
    <row r="8" spans="1:17" ht="15">
      <c r="A8" s="98">
        <v>10</v>
      </c>
      <c r="B8" s="99">
        <f>+A8/25</f>
        <v>0.4</v>
      </c>
      <c r="C8" s="100">
        <v>2.5</v>
      </c>
      <c r="D8" s="99">
        <f>+B8+C8</f>
        <v>2.9</v>
      </c>
      <c r="E8" s="173">
        <f>+(C$3+C$2)*0.9*D8/10000</f>
        <v>179.79992982000002</v>
      </c>
      <c r="F8" s="173">
        <f>(C$3+G$2)*0.07*D8/4000</f>
        <v>34.96109746500001</v>
      </c>
      <c r="G8" s="173">
        <f>+G$3*D8</f>
        <v>215.354</v>
      </c>
      <c r="H8" s="173">
        <f>+G$4/120/8*D8</f>
        <v>31.04679583333333</v>
      </c>
      <c r="I8" s="173">
        <f>+B8*E8/2/D8</f>
        <v>12.399995160000001</v>
      </c>
      <c r="J8" s="173">
        <f>+K$3*2*6/40000*A8</f>
        <v>13.513220099999998</v>
      </c>
      <c r="K8" s="173">
        <f>0.12*145*C$5*1.3*B8</f>
        <v>75.0984</v>
      </c>
      <c r="L8" s="173">
        <f>+E8+F8+G8+H8+I8+J8+K8</f>
        <v>562.1734383783333</v>
      </c>
      <c r="M8" s="174">
        <f>+L8/10/A8</f>
        <v>5.621734383783333</v>
      </c>
      <c r="P8" s="98">
        <v>180</v>
      </c>
      <c r="Q8" s="174">
        <f>M29</f>
        <v>1.1469149034004629</v>
      </c>
    </row>
    <row r="9" spans="1:17" ht="15">
      <c r="A9" s="98">
        <v>15</v>
      </c>
      <c r="B9" s="99">
        <f aca="true" t="shared" si="0" ref="B9:B49">+A9/25</f>
        <v>0.6</v>
      </c>
      <c r="C9" s="100">
        <v>2.5</v>
      </c>
      <c r="D9" s="99">
        <f aca="true" t="shared" si="1" ref="D9:D49">+B9+C9</f>
        <v>3.1</v>
      </c>
      <c r="E9" s="173">
        <f aca="true" t="shared" si="2" ref="E9:E15">+(C$3+C$2)*0.9*D9/10000</f>
        <v>192.19992498000002</v>
      </c>
      <c r="F9" s="173">
        <f aca="true" t="shared" si="3" ref="F9:F15">(C$3+G$2)*0.07*D9/4000</f>
        <v>37.37220763500001</v>
      </c>
      <c r="G9" s="173">
        <f>+G$3*D9</f>
        <v>230.20600000000002</v>
      </c>
      <c r="H9" s="173">
        <f aca="true" t="shared" si="4" ref="H9:H16">+G$4/120/8*D9</f>
        <v>33.187954166666664</v>
      </c>
      <c r="I9" s="173">
        <f aca="true" t="shared" si="5" ref="I9:I49">+B9*E9/2/D9</f>
        <v>18.59999274</v>
      </c>
      <c r="J9" s="173">
        <f aca="true" t="shared" si="6" ref="J9:J16">+K$3*2*6/40000*A9</f>
        <v>20.269830149999997</v>
      </c>
      <c r="K9" s="173">
        <f aca="true" t="shared" si="7" ref="K9:K16">0.12*145*C$5*1.3*B9</f>
        <v>112.64759999999998</v>
      </c>
      <c r="L9" s="173">
        <f aca="true" t="shared" si="8" ref="L9:L49">+E9+F9+G9+H9+I9+J9+K9</f>
        <v>644.4835096716668</v>
      </c>
      <c r="M9" s="174">
        <f aca="true" t="shared" si="9" ref="M9:M16">+L9/10/A9</f>
        <v>4.296556731144445</v>
      </c>
      <c r="P9" s="98">
        <v>190</v>
      </c>
      <c r="Q9" s="174">
        <f aca="true" t="shared" si="10" ref="Q9:Q28">M30</f>
        <v>1.1352056585643273</v>
      </c>
    </row>
    <row r="10" spans="1:17" ht="15">
      <c r="A10" s="98">
        <v>20</v>
      </c>
      <c r="B10" s="99">
        <f t="shared" si="0"/>
        <v>0.8</v>
      </c>
      <c r="C10" s="100">
        <v>2.5</v>
      </c>
      <c r="D10" s="99">
        <f t="shared" si="1"/>
        <v>3.3</v>
      </c>
      <c r="E10" s="173">
        <f t="shared" si="2"/>
        <v>204.59992014</v>
      </c>
      <c r="F10" s="173">
        <f t="shared" si="3"/>
        <v>39.783317805</v>
      </c>
      <c r="G10" s="173">
        <f aca="true" t="shared" si="11" ref="G10:G49">+G$3*D10</f>
        <v>245.058</v>
      </c>
      <c r="H10" s="173">
        <f t="shared" si="4"/>
        <v>35.329112499999994</v>
      </c>
      <c r="I10" s="173">
        <f t="shared" si="5"/>
        <v>24.799990320000003</v>
      </c>
      <c r="J10" s="173">
        <f t="shared" si="6"/>
        <v>27.026440199999996</v>
      </c>
      <c r="K10" s="173">
        <f t="shared" si="7"/>
        <v>150.1968</v>
      </c>
      <c r="L10" s="173">
        <f t="shared" si="8"/>
        <v>726.793580965</v>
      </c>
      <c r="M10" s="174">
        <f t="shared" si="9"/>
        <v>3.6339679048250004</v>
      </c>
      <c r="P10" s="98">
        <v>200</v>
      </c>
      <c r="Q10" s="174">
        <f t="shared" si="10"/>
        <v>1.1246673382118053</v>
      </c>
    </row>
    <row r="11" spans="1:17" ht="15">
      <c r="A11" s="98">
        <v>25</v>
      </c>
      <c r="B11" s="99">
        <f t="shared" si="0"/>
        <v>1</v>
      </c>
      <c r="C11" s="100">
        <v>2.5</v>
      </c>
      <c r="D11" s="99">
        <f t="shared" si="1"/>
        <v>3.5</v>
      </c>
      <c r="E11" s="173">
        <f t="shared" si="2"/>
        <v>216.9999153</v>
      </c>
      <c r="F11" s="173">
        <f t="shared" si="3"/>
        <v>42.194427975</v>
      </c>
      <c r="G11" s="173">
        <f t="shared" si="11"/>
        <v>259.91</v>
      </c>
      <c r="H11" s="173">
        <f t="shared" si="4"/>
        <v>37.47027083333333</v>
      </c>
      <c r="I11" s="173">
        <f t="shared" si="5"/>
        <v>30.9999879</v>
      </c>
      <c r="J11" s="173">
        <f t="shared" si="6"/>
        <v>33.783050249999995</v>
      </c>
      <c r="K11" s="173">
        <f t="shared" si="7"/>
        <v>187.74599999999998</v>
      </c>
      <c r="L11" s="173">
        <f t="shared" si="8"/>
        <v>809.1036522583332</v>
      </c>
      <c r="M11" s="174">
        <f t="shared" si="9"/>
        <v>3.2364146090333326</v>
      </c>
      <c r="P11" s="98">
        <v>210</v>
      </c>
      <c r="Q11" s="174">
        <f t="shared" si="10"/>
        <v>1.1151326674166664</v>
      </c>
    </row>
    <row r="12" spans="1:17" ht="15">
      <c r="A12" s="98">
        <v>30</v>
      </c>
      <c r="B12" s="99">
        <f t="shared" si="0"/>
        <v>1.2</v>
      </c>
      <c r="C12" s="100">
        <v>2.5</v>
      </c>
      <c r="D12" s="99">
        <f t="shared" si="1"/>
        <v>3.7</v>
      </c>
      <c r="E12" s="173">
        <f t="shared" si="2"/>
        <v>229.39991046000003</v>
      </c>
      <c r="F12" s="173">
        <f t="shared" si="3"/>
        <v>44.605538145000004</v>
      </c>
      <c r="G12" s="173">
        <f t="shared" si="11"/>
        <v>274.76200000000006</v>
      </c>
      <c r="H12" s="173">
        <f t="shared" si="4"/>
        <v>39.61142916666667</v>
      </c>
      <c r="I12" s="173">
        <f t="shared" si="5"/>
        <v>37.19998548</v>
      </c>
      <c r="J12" s="173">
        <f t="shared" si="6"/>
        <v>40.539660299999994</v>
      </c>
      <c r="K12" s="173">
        <f t="shared" si="7"/>
        <v>225.29519999999997</v>
      </c>
      <c r="L12" s="173">
        <f t="shared" si="8"/>
        <v>891.4137235516666</v>
      </c>
      <c r="M12" s="174">
        <f t="shared" si="9"/>
        <v>2.9713790785055556</v>
      </c>
      <c r="P12" s="98">
        <v>220</v>
      </c>
      <c r="Q12" s="174">
        <f t="shared" si="10"/>
        <v>1.1064647848756315</v>
      </c>
    </row>
    <row r="13" spans="1:17" ht="15">
      <c r="A13" s="98">
        <v>35</v>
      </c>
      <c r="B13" s="99">
        <f t="shared" si="0"/>
        <v>1.4</v>
      </c>
      <c r="C13" s="100">
        <v>2.5</v>
      </c>
      <c r="D13" s="99">
        <f t="shared" si="1"/>
        <v>3.9</v>
      </c>
      <c r="E13" s="173">
        <f t="shared" si="2"/>
        <v>241.79990562</v>
      </c>
      <c r="F13" s="173">
        <f t="shared" si="3"/>
        <v>47.016648315000005</v>
      </c>
      <c r="G13" s="173">
        <f t="shared" si="11"/>
        <v>289.61400000000003</v>
      </c>
      <c r="H13" s="173">
        <f t="shared" si="4"/>
        <v>41.7525875</v>
      </c>
      <c r="I13" s="173">
        <f t="shared" si="5"/>
        <v>43.399983060000004</v>
      </c>
      <c r="J13" s="173">
        <f t="shared" si="6"/>
        <v>47.29627034999999</v>
      </c>
      <c r="K13" s="173">
        <f t="shared" si="7"/>
        <v>262.84439999999995</v>
      </c>
      <c r="L13" s="173">
        <f t="shared" si="8"/>
        <v>973.7237948449999</v>
      </c>
      <c r="M13" s="174">
        <f t="shared" si="9"/>
        <v>2.782067985271428</v>
      </c>
      <c r="P13" s="98">
        <v>230</v>
      </c>
      <c r="Q13" s="174">
        <f t="shared" si="10"/>
        <v>1.0985506312512079</v>
      </c>
    </row>
    <row r="14" spans="1:17" ht="15">
      <c r="A14" s="98">
        <v>40</v>
      </c>
      <c r="B14" s="99">
        <f t="shared" si="0"/>
        <v>1.6</v>
      </c>
      <c r="C14" s="100">
        <v>2.5</v>
      </c>
      <c r="D14" s="99">
        <f t="shared" si="1"/>
        <v>4.1</v>
      </c>
      <c r="E14" s="173">
        <f t="shared" si="2"/>
        <v>254.19990077999998</v>
      </c>
      <c r="F14" s="173">
        <f t="shared" si="3"/>
        <v>49.427758485</v>
      </c>
      <c r="G14" s="173">
        <f t="shared" si="11"/>
        <v>304.466</v>
      </c>
      <c r="H14" s="173">
        <f t="shared" si="4"/>
        <v>43.89374583333333</v>
      </c>
      <c r="I14" s="173">
        <f t="shared" si="5"/>
        <v>49.59998064</v>
      </c>
      <c r="J14" s="173">
        <f t="shared" si="6"/>
        <v>54.05288039999999</v>
      </c>
      <c r="K14" s="173">
        <f t="shared" si="7"/>
        <v>300.3936</v>
      </c>
      <c r="L14" s="173">
        <f t="shared" si="8"/>
        <v>1056.0338661383335</v>
      </c>
      <c r="M14" s="174">
        <f t="shared" si="9"/>
        <v>2.640084665345834</v>
      </c>
      <c r="P14" s="98">
        <v>240</v>
      </c>
      <c r="Q14" s="174">
        <f t="shared" si="10"/>
        <v>1.0912959904288195</v>
      </c>
    </row>
    <row r="15" spans="1:17" ht="15">
      <c r="A15" s="98">
        <v>45</v>
      </c>
      <c r="B15" s="99">
        <f t="shared" si="0"/>
        <v>1.8</v>
      </c>
      <c r="C15" s="100">
        <v>2.5</v>
      </c>
      <c r="D15" s="99">
        <f t="shared" si="1"/>
        <v>4.3</v>
      </c>
      <c r="E15" s="173">
        <f t="shared" si="2"/>
        <v>266.59989594</v>
      </c>
      <c r="F15" s="173">
        <f t="shared" si="3"/>
        <v>51.838868655000006</v>
      </c>
      <c r="G15" s="173">
        <f t="shared" si="11"/>
        <v>319.318</v>
      </c>
      <c r="H15" s="173">
        <f t="shared" si="4"/>
        <v>46.034904166666664</v>
      </c>
      <c r="I15" s="173">
        <f t="shared" si="5"/>
        <v>55.79997822000001</v>
      </c>
      <c r="J15" s="173">
        <f t="shared" si="6"/>
        <v>60.80949044999999</v>
      </c>
      <c r="K15" s="173">
        <f t="shared" si="7"/>
        <v>337.9428</v>
      </c>
      <c r="L15" s="173">
        <f t="shared" si="8"/>
        <v>1138.3439374316667</v>
      </c>
      <c r="M15" s="174">
        <f t="shared" si="9"/>
        <v>2.529653194292593</v>
      </c>
      <c r="P15" s="98">
        <v>250</v>
      </c>
      <c r="Q15" s="174">
        <f t="shared" si="10"/>
        <v>1.0846217208722224</v>
      </c>
    </row>
    <row r="16" spans="1:17" ht="15">
      <c r="A16" s="98">
        <v>50</v>
      </c>
      <c r="B16" s="99">
        <f t="shared" si="0"/>
        <v>2</v>
      </c>
      <c r="C16" s="100">
        <v>2.5</v>
      </c>
      <c r="D16" s="99">
        <f t="shared" si="1"/>
        <v>4.5</v>
      </c>
      <c r="E16" s="173">
        <f>+(C$3+C$2)*0.9*D16/10000</f>
        <v>278.9998911</v>
      </c>
      <c r="F16" s="173">
        <f>(C$3+G$2)*0.07*D16/4000</f>
        <v>54.24997882500001</v>
      </c>
      <c r="G16" s="173">
        <f t="shared" si="11"/>
        <v>334.17</v>
      </c>
      <c r="H16" s="173">
        <f t="shared" si="4"/>
        <v>48.1760625</v>
      </c>
      <c r="I16" s="173">
        <f t="shared" si="5"/>
        <v>61.9999758</v>
      </c>
      <c r="J16" s="173">
        <f t="shared" si="6"/>
        <v>67.56610049999999</v>
      </c>
      <c r="K16" s="173">
        <f t="shared" si="7"/>
        <v>375.49199999999996</v>
      </c>
      <c r="L16" s="173">
        <f t="shared" si="8"/>
        <v>1220.654008725</v>
      </c>
      <c r="M16" s="174">
        <f t="shared" si="9"/>
        <v>2.44130801745</v>
      </c>
      <c r="P16" s="98">
        <v>260</v>
      </c>
      <c r="Q16" s="174">
        <f t="shared" si="10"/>
        <v>1.0784608566661325</v>
      </c>
    </row>
    <row r="17" spans="1:17" ht="15">
      <c r="A17" s="98">
        <v>60</v>
      </c>
      <c r="B17" s="99">
        <f t="shared" si="0"/>
        <v>2.4</v>
      </c>
      <c r="C17" s="100">
        <v>6</v>
      </c>
      <c r="D17" s="99">
        <f t="shared" si="1"/>
        <v>8.4</v>
      </c>
      <c r="E17" s="173">
        <f>(C$4+G$2)*0.9*D17/10000</f>
        <v>574.90013196</v>
      </c>
      <c r="F17" s="173">
        <f>(C$4+G$2)*0.07*D17/4000</f>
        <v>111.78613677000001</v>
      </c>
      <c r="G17" s="173">
        <f t="shared" si="11"/>
        <v>623.7840000000001</v>
      </c>
      <c r="H17" s="173">
        <f>+G$5/120/8*D17</f>
        <v>101.3257</v>
      </c>
      <c r="I17" s="173">
        <f t="shared" si="5"/>
        <v>82.12859028</v>
      </c>
      <c r="J17" s="173">
        <f>2*(K$4*6+K$5*12)/40000*A17</f>
        <v>327.1686606</v>
      </c>
      <c r="K17" s="173">
        <f>0.12*176*C$5*1.3*B17</f>
        <v>546.9235199999999</v>
      </c>
      <c r="L17" s="173">
        <f t="shared" si="8"/>
        <v>2368.01673961</v>
      </c>
      <c r="M17" s="174">
        <f>+L17/24/A17</f>
        <v>1.6444560691736112</v>
      </c>
      <c r="P17" s="98">
        <v>280</v>
      </c>
      <c r="Q17" s="174">
        <f t="shared" si="10"/>
        <v>1.0674593134409722</v>
      </c>
    </row>
    <row r="18" spans="1:17" ht="15">
      <c r="A18" s="98">
        <v>70</v>
      </c>
      <c r="B18" s="99">
        <f t="shared" si="0"/>
        <v>2.8</v>
      </c>
      <c r="C18" s="100">
        <v>6</v>
      </c>
      <c r="D18" s="99">
        <f t="shared" si="1"/>
        <v>8.8</v>
      </c>
      <c r="E18" s="173">
        <f aca="true" t="shared" si="12" ref="E18:E49">+C$4*0.9*D18/10000</f>
        <v>532.85771088</v>
      </c>
      <c r="F18" s="173">
        <f aca="true" t="shared" si="13" ref="F18:F49">(C$4+G$2)*0.07*D18/4000</f>
        <v>117.10928614000002</v>
      </c>
      <c r="G18" s="173">
        <f t="shared" si="11"/>
        <v>653.488</v>
      </c>
      <c r="H18" s="173">
        <f aca="true" t="shared" si="14" ref="H18:H49">+G$5/120/8*D18</f>
        <v>106.15073333333333</v>
      </c>
      <c r="I18" s="173">
        <f t="shared" si="5"/>
        <v>84.77281763999999</v>
      </c>
      <c r="J18" s="173">
        <f aca="true" t="shared" si="15" ref="J18:J49">2*(K$4*6+K$5*12)/40000*A18</f>
        <v>381.69677070000006</v>
      </c>
      <c r="K18" s="173">
        <f aca="true" t="shared" si="16" ref="K18:K49">0.12*176*C$5*1.3*B18</f>
        <v>638.0774399999999</v>
      </c>
      <c r="L18" s="173">
        <f t="shared" si="8"/>
        <v>2514.1527586933335</v>
      </c>
      <c r="M18" s="174">
        <f aca="true" t="shared" si="17" ref="M18:M49">+L18/24/A18</f>
        <v>1.4965194992222224</v>
      </c>
      <c r="P18" s="98">
        <v>300</v>
      </c>
      <c r="Q18" s="174">
        <f t="shared" si="10"/>
        <v>1.0579246426458333</v>
      </c>
    </row>
    <row r="19" spans="1:17" ht="15">
      <c r="A19" s="98">
        <v>80</v>
      </c>
      <c r="B19" s="99">
        <f t="shared" si="0"/>
        <v>3.2</v>
      </c>
      <c r="C19" s="100">
        <v>6</v>
      </c>
      <c r="D19" s="99">
        <f t="shared" si="1"/>
        <v>9.2</v>
      </c>
      <c r="E19" s="173">
        <f t="shared" si="12"/>
        <v>557.07851592</v>
      </c>
      <c r="F19" s="173">
        <f t="shared" si="13"/>
        <v>122.43243551</v>
      </c>
      <c r="G19" s="173">
        <f t="shared" si="11"/>
        <v>683.192</v>
      </c>
      <c r="H19" s="173">
        <f t="shared" si="14"/>
        <v>110.97576666666664</v>
      </c>
      <c r="I19" s="173">
        <f t="shared" si="5"/>
        <v>96.88322016000001</v>
      </c>
      <c r="J19" s="173">
        <f t="shared" si="15"/>
        <v>436.22488080000005</v>
      </c>
      <c r="K19" s="173">
        <f t="shared" si="16"/>
        <v>729.23136</v>
      </c>
      <c r="L19" s="173">
        <f t="shared" si="8"/>
        <v>2736.0181790566667</v>
      </c>
      <c r="M19" s="174">
        <f t="shared" si="17"/>
        <v>1.4250094682586805</v>
      </c>
      <c r="P19" s="98">
        <v>320</v>
      </c>
      <c r="Q19" s="174">
        <f t="shared" si="10"/>
        <v>1.049581805700087</v>
      </c>
    </row>
    <row r="20" spans="1:17" ht="15">
      <c r="A20" s="98">
        <v>90</v>
      </c>
      <c r="B20" s="99">
        <f t="shared" si="0"/>
        <v>3.6</v>
      </c>
      <c r="C20" s="100">
        <v>6</v>
      </c>
      <c r="D20" s="99">
        <f t="shared" si="1"/>
        <v>9.6</v>
      </c>
      <c r="E20" s="173">
        <f t="shared" si="12"/>
        <v>581.29932096</v>
      </c>
      <c r="F20" s="173">
        <f t="shared" si="13"/>
        <v>127.75558488000001</v>
      </c>
      <c r="G20" s="173">
        <f t="shared" si="11"/>
        <v>712.8960000000001</v>
      </c>
      <c r="H20" s="173">
        <f t="shared" si="14"/>
        <v>115.80079999999998</v>
      </c>
      <c r="I20" s="173">
        <f t="shared" si="5"/>
        <v>108.99362268000003</v>
      </c>
      <c r="J20" s="173">
        <f t="shared" si="15"/>
        <v>490.75299090000004</v>
      </c>
      <c r="K20" s="173">
        <f t="shared" si="16"/>
        <v>820.38528</v>
      </c>
      <c r="L20" s="173">
        <f t="shared" si="8"/>
        <v>2957.8835994200003</v>
      </c>
      <c r="M20" s="174">
        <f t="shared" si="17"/>
        <v>1.3693905552870371</v>
      </c>
      <c r="P20" s="98">
        <v>340</v>
      </c>
      <c r="Q20" s="174">
        <f t="shared" si="10"/>
        <v>1.0422204789832517</v>
      </c>
    </row>
    <row r="21" spans="1:17" ht="15">
      <c r="A21" s="98">
        <v>100</v>
      </c>
      <c r="B21" s="99">
        <f t="shared" si="0"/>
        <v>4</v>
      </c>
      <c r="C21" s="100">
        <v>6</v>
      </c>
      <c r="D21" s="99">
        <f t="shared" si="1"/>
        <v>10</v>
      </c>
      <c r="E21" s="173">
        <f t="shared" si="12"/>
        <v>605.5201260000001</v>
      </c>
      <c r="F21" s="173">
        <f t="shared" si="13"/>
        <v>133.07873425</v>
      </c>
      <c r="G21" s="173">
        <f t="shared" si="11"/>
        <v>742.6</v>
      </c>
      <c r="H21" s="173">
        <f t="shared" si="14"/>
        <v>120.62583333333333</v>
      </c>
      <c r="I21" s="173">
        <f t="shared" si="5"/>
        <v>121.10402520000002</v>
      </c>
      <c r="J21" s="173">
        <f t="shared" si="15"/>
        <v>545.281101</v>
      </c>
      <c r="K21" s="173">
        <f t="shared" si="16"/>
        <v>911.5391999999999</v>
      </c>
      <c r="L21" s="173">
        <f t="shared" si="8"/>
        <v>3179.749019783333</v>
      </c>
      <c r="M21" s="174">
        <f t="shared" si="17"/>
        <v>1.3248954249097222</v>
      </c>
      <c r="P21" s="98">
        <v>360</v>
      </c>
      <c r="Q21" s="174">
        <f t="shared" si="10"/>
        <v>1.035677077457176</v>
      </c>
    </row>
    <row r="22" spans="1:17" ht="15">
      <c r="A22" s="98">
        <v>110</v>
      </c>
      <c r="B22" s="99">
        <f t="shared" si="0"/>
        <v>4.4</v>
      </c>
      <c r="C22" s="100">
        <v>6</v>
      </c>
      <c r="D22" s="99">
        <f t="shared" si="1"/>
        <v>10.4</v>
      </c>
      <c r="E22" s="173">
        <f t="shared" si="12"/>
        <v>629.7409310400001</v>
      </c>
      <c r="F22" s="173">
        <f t="shared" si="13"/>
        <v>138.40188362</v>
      </c>
      <c r="G22" s="173">
        <f t="shared" si="11"/>
        <v>772.3040000000001</v>
      </c>
      <c r="H22" s="173">
        <f t="shared" si="14"/>
        <v>125.45086666666667</v>
      </c>
      <c r="I22" s="173">
        <f t="shared" si="5"/>
        <v>133.21442772000003</v>
      </c>
      <c r="J22" s="173">
        <f t="shared" si="15"/>
        <v>599.8092111000001</v>
      </c>
      <c r="K22" s="173">
        <f t="shared" si="16"/>
        <v>1002.69312</v>
      </c>
      <c r="L22" s="173">
        <f t="shared" si="8"/>
        <v>3401.6144401466668</v>
      </c>
      <c r="M22" s="174">
        <f t="shared" si="17"/>
        <v>1.288490318237374</v>
      </c>
      <c r="P22" s="98">
        <v>380</v>
      </c>
      <c r="Q22" s="174">
        <f t="shared" si="10"/>
        <v>1.0298224550391082</v>
      </c>
    </row>
    <row r="23" spans="1:17" ht="15">
      <c r="A23" s="98">
        <v>120</v>
      </c>
      <c r="B23" s="99">
        <f t="shared" si="0"/>
        <v>4.8</v>
      </c>
      <c r="C23" s="100">
        <v>6</v>
      </c>
      <c r="D23" s="99">
        <f t="shared" si="1"/>
        <v>10.8</v>
      </c>
      <c r="E23" s="173">
        <f t="shared" si="12"/>
        <v>653.96173608</v>
      </c>
      <c r="F23" s="173">
        <f t="shared" si="13"/>
        <v>143.72503299000005</v>
      </c>
      <c r="G23" s="173">
        <f t="shared" si="11"/>
        <v>802.0080000000002</v>
      </c>
      <c r="H23" s="173">
        <f t="shared" si="14"/>
        <v>130.2759</v>
      </c>
      <c r="I23" s="173">
        <f t="shared" si="5"/>
        <v>145.32483023999998</v>
      </c>
      <c r="J23" s="173">
        <f t="shared" si="15"/>
        <v>654.3373212</v>
      </c>
      <c r="K23" s="173">
        <f t="shared" si="16"/>
        <v>1093.8470399999999</v>
      </c>
      <c r="L23" s="173">
        <f t="shared" si="8"/>
        <v>3623.4798605100004</v>
      </c>
      <c r="M23" s="174">
        <f t="shared" si="17"/>
        <v>1.25815272934375</v>
      </c>
      <c r="P23" s="98">
        <v>400</v>
      </c>
      <c r="Q23" s="174">
        <f t="shared" si="10"/>
        <v>1.0245532948628473</v>
      </c>
    </row>
    <row r="24" spans="1:17" ht="15">
      <c r="A24" s="98">
        <v>130</v>
      </c>
      <c r="B24" s="99">
        <f t="shared" si="0"/>
        <v>5.2</v>
      </c>
      <c r="C24" s="100">
        <v>6</v>
      </c>
      <c r="D24" s="99">
        <f t="shared" si="1"/>
        <v>11.2</v>
      </c>
      <c r="E24" s="173">
        <f t="shared" si="12"/>
        <v>678.18254112</v>
      </c>
      <c r="F24" s="173">
        <f t="shared" si="13"/>
        <v>149.04818236</v>
      </c>
      <c r="G24" s="173">
        <f t="shared" si="11"/>
        <v>831.712</v>
      </c>
      <c r="H24" s="173">
        <f t="shared" si="14"/>
        <v>135.1009333333333</v>
      </c>
      <c r="I24" s="173">
        <f t="shared" si="5"/>
        <v>157.43523276000002</v>
      </c>
      <c r="J24" s="173">
        <f t="shared" si="15"/>
        <v>708.8654313000001</v>
      </c>
      <c r="K24" s="173">
        <f t="shared" si="16"/>
        <v>1185.0009599999998</v>
      </c>
      <c r="L24" s="173">
        <f t="shared" si="8"/>
        <v>3845.345280873333</v>
      </c>
      <c r="M24" s="174">
        <f t="shared" si="17"/>
        <v>1.232482461818376</v>
      </c>
      <c r="P24" s="98">
        <v>420</v>
      </c>
      <c r="Q24" s="174">
        <f t="shared" si="10"/>
        <v>1.0197859594652778</v>
      </c>
    </row>
    <row r="25" spans="1:17" ht="15">
      <c r="A25" s="98">
        <v>140</v>
      </c>
      <c r="B25" s="99">
        <f t="shared" si="0"/>
        <v>5.6</v>
      </c>
      <c r="C25" s="100">
        <v>6</v>
      </c>
      <c r="D25" s="99">
        <f t="shared" si="1"/>
        <v>11.6</v>
      </c>
      <c r="E25" s="173">
        <f t="shared" si="12"/>
        <v>702.40334616</v>
      </c>
      <c r="F25" s="173">
        <f t="shared" si="13"/>
        <v>154.37133173</v>
      </c>
      <c r="G25" s="173">
        <f t="shared" si="11"/>
        <v>861.416</v>
      </c>
      <c r="H25" s="173">
        <f t="shared" si="14"/>
        <v>139.92596666666665</v>
      </c>
      <c r="I25" s="173">
        <f t="shared" si="5"/>
        <v>169.54563528</v>
      </c>
      <c r="J25" s="173">
        <f t="shared" si="15"/>
        <v>763.3935414000001</v>
      </c>
      <c r="K25" s="173">
        <f t="shared" si="16"/>
        <v>1276.1548799999998</v>
      </c>
      <c r="L25" s="173">
        <f t="shared" si="8"/>
        <v>4067.210701236667</v>
      </c>
      <c r="M25" s="174">
        <f t="shared" si="17"/>
        <v>1.2104793753680556</v>
      </c>
      <c r="P25" s="98">
        <v>440</v>
      </c>
      <c r="Q25" s="174">
        <f t="shared" si="10"/>
        <v>1.0154520181947602</v>
      </c>
    </row>
    <row r="26" spans="1:17" ht="15">
      <c r="A26" s="98">
        <v>150</v>
      </c>
      <c r="B26" s="99">
        <f t="shared" si="0"/>
        <v>6</v>
      </c>
      <c r="C26" s="100">
        <v>6</v>
      </c>
      <c r="D26" s="99">
        <f t="shared" si="1"/>
        <v>12</v>
      </c>
      <c r="E26" s="173">
        <f t="shared" si="12"/>
        <v>726.6241512</v>
      </c>
      <c r="F26" s="173">
        <f t="shared" si="13"/>
        <v>159.69448110000005</v>
      </c>
      <c r="G26" s="173">
        <f t="shared" si="11"/>
        <v>891.1200000000001</v>
      </c>
      <c r="H26" s="173">
        <f t="shared" si="14"/>
        <v>144.75099999999998</v>
      </c>
      <c r="I26" s="173">
        <f t="shared" si="5"/>
        <v>181.6560378</v>
      </c>
      <c r="J26" s="173">
        <f t="shared" si="15"/>
        <v>817.9216515</v>
      </c>
      <c r="K26" s="173">
        <f t="shared" si="16"/>
        <v>1367.3087999999998</v>
      </c>
      <c r="L26" s="173">
        <f t="shared" si="8"/>
        <v>4289.0761216</v>
      </c>
      <c r="M26" s="174">
        <f t="shared" si="17"/>
        <v>1.1914100337777778</v>
      </c>
      <c r="P26" s="98">
        <v>460</v>
      </c>
      <c r="Q26" s="174">
        <f t="shared" si="10"/>
        <v>1.0114949413825483</v>
      </c>
    </row>
    <row r="27" spans="1:17" ht="15">
      <c r="A27" s="98">
        <v>160</v>
      </c>
      <c r="B27" s="99">
        <f t="shared" si="0"/>
        <v>6.4</v>
      </c>
      <c r="C27" s="100">
        <v>6</v>
      </c>
      <c r="D27" s="99">
        <f t="shared" si="1"/>
        <v>12.4</v>
      </c>
      <c r="E27" s="173">
        <f t="shared" si="12"/>
        <v>750.8449562400001</v>
      </c>
      <c r="F27" s="173">
        <f t="shared" si="13"/>
        <v>165.01763047000003</v>
      </c>
      <c r="G27" s="173">
        <f t="shared" si="11"/>
        <v>920.8240000000001</v>
      </c>
      <c r="H27" s="173">
        <f t="shared" si="14"/>
        <v>149.57603333333333</v>
      </c>
      <c r="I27" s="173">
        <f t="shared" si="5"/>
        <v>193.76644032000002</v>
      </c>
      <c r="J27" s="173">
        <f t="shared" si="15"/>
        <v>872.4497616000001</v>
      </c>
      <c r="K27" s="173">
        <f t="shared" si="16"/>
        <v>1458.46272</v>
      </c>
      <c r="L27" s="173">
        <f t="shared" si="8"/>
        <v>4510.941541963333</v>
      </c>
      <c r="M27" s="174">
        <f t="shared" si="17"/>
        <v>1.1747243598862847</v>
      </c>
      <c r="P27" s="98">
        <v>480</v>
      </c>
      <c r="Q27" s="174">
        <f t="shared" si="10"/>
        <v>1.0078676209713542</v>
      </c>
    </row>
    <row r="28" spans="1:17" ht="15.75" customHeight="1">
      <c r="A28" s="98">
        <v>170</v>
      </c>
      <c r="B28" s="99">
        <f t="shared" si="0"/>
        <v>6.8</v>
      </c>
      <c r="C28" s="100">
        <v>6</v>
      </c>
      <c r="D28" s="99">
        <f t="shared" si="1"/>
        <v>12.8</v>
      </c>
      <c r="E28" s="173">
        <f t="shared" si="12"/>
        <v>775.0657612800001</v>
      </c>
      <c r="F28" s="173">
        <f t="shared" si="13"/>
        <v>170.34077984000004</v>
      </c>
      <c r="G28" s="173">
        <f t="shared" si="11"/>
        <v>950.5280000000001</v>
      </c>
      <c r="H28" s="173">
        <f t="shared" si="14"/>
        <v>154.40106666666668</v>
      </c>
      <c r="I28" s="173">
        <f t="shared" si="5"/>
        <v>205.87684284</v>
      </c>
      <c r="J28" s="173">
        <f t="shared" si="15"/>
        <v>926.9778717</v>
      </c>
      <c r="K28" s="173">
        <f t="shared" si="16"/>
        <v>1549.61664</v>
      </c>
      <c r="L28" s="173">
        <f t="shared" si="8"/>
        <v>4732.8069623266665</v>
      </c>
      <c r="M28" s="174">
        <f t="shared" si="17"/>
        <v>1.1600017064526142</v>
      </c>
      <c r="N28" s="204"/>
      <c r="P28" s="98">
        <v>500</v>
      </c>
      <c r="Q28" s="174">
        <f t="shared" si="10"/>
        <v>1.0045304861930557</v>
      </c>
    </row>
    <row r="29" spans="1:13" ht="15" hidden="1">
      <c r="A29" s="98">
        <v>180</v>
      </c>
      <c r="B29" s="99">
        <f t="shared" si="0"/>
        <v>7.2</v>
      </c>
      <c r="C29" s="100">
        <v>6</v>
      </c>
      <c r="D29" s="99">
        <f t="shared" si="1"/>
        <v>13.2</v>
      </c>
      <c r="E29" s="173">
        <f t="shared" si="12"/>
        <v>799.28656632</v>
      </c>
      <c r="F29" s="173">
        <f t="shared" si="13"/>
        <v>175.66392921</v>
      </c>
      <c r="G29" s="173">
        <f t="shared" si="11"/>
        <v>980.232</v>
      </c>
      <c r="H29" s="173">
        <f t="shared" si="14"/>
        <v>159.22609999999997</v>
      </c>
      <c r="I29" s="173">
        <f t="shared" si="5"/>
        <v>217.98724536000003</v>
      </c>
      <c r="J29" s="173">
        <f t="shared" si="15"/>
        <v>981.5059818000001</v>
      </c>
      <c r="K29" s="173">
        <f t="shared" si="16"/>
        <v>1640.77056</v>
      </c>
      <c r="L29" s="173">
        <f t="shared" si="8"/>
        <v>4954.67238269</v>
      </c>
      <c r="M29" s="174">
        <f t="shared" si="17"/>
        <v>1.1469149034004629</v>
      </c>
    </row>
    <row r="30" spans="1:13" ht="15" hidden="1">
      <c r="A30" s="98">
        <v>190</v>
      </c>
      <c r="B30" s="99">
        <f t="shared" si="0"/>
        <v>7.6</v>
      </c>
      <c r="C30" s="100">
        <v>6</v>
      </c>
      <c r="D30" s="99">
        <f t="shared" si="1"/>
        <v>13.6</v>
      </c>
      <c r="E30" s="173">
        <f t="shared" si="12"/>
        <v>823.5073713600001</v>
      </c>
      <c r="F30" s="173">
        <f t="shared" si="13"/>
        <v>180.98707858000003</v>
      </c>
      <c r="G30" s="173">
        <f t="shared" si="11"/>
        <v>1009.936</v>
      </c>
      <c r="H30" s="173">
        <f t="shared" si="14"/>
        <v>164.05113333333333</v>
      </c>
      <c r="I30" s="173">
        <f t="shared" si="5"/>
        <v>230.09764788</v>
      </c>
      <c r="J30" s="173">
        <f t="shared" si="15"/>
        <v>1036.0340919</v>
      </c>
      <c r="K30" s="173">
        <f t="shared" si="16"/>
        <v>1731.92448</v>
      </c>
      <c r="L30" s="173">
        <f t="shared" si="8"/>
        <v>5176.537803053333</v>
      </c>
      <c r="M30" s="174">
        <f t="shared" si="17"/>
        <v>1.1352056585643273</v>
      </c>
    </row>
    <row r="31" spans="1:13" ht="15" hidden="1">
      <c r="A31" s="98">
        <v>200</v>
      </c>
      <c r="B31" s="99">
        <f t="shared" si="0"/>
        <v>8</v>
      </c>
      <c r="C31" s="100">
        <v>6</v>
      </c>
      <c r="D31" s="99">
        <f t="shared" si="1"/>
        <v>14</v>
      </c>
      <c r="E31" s="173">
        <f t="shared" si="12"/>
        <v>847.7281764</v>
      </c>
      <c r="F31" s="173">
        <f t="shared" si="13"/>
        <v>186.31022795000004</v>
      </c>
      <c r="G31" s="173">
        <f t="shared" si="11"/>
        <v>1039.64</v>
      </c>
      <c r="H31" s="173">
        <f t="shared" si="14"/>
        <v>168.87616666666665</v>
      </c>
      <c r="I31" s="173">
        <f t="shared" si="5"/>
        <v>242.20805040000002</v>
      </c>
      <c r="J31" s="173">
        <f t="shared" si="15"/>
        <v>1090.562202</v>
      </c>
      <c r="K31" s="173">
        <f t="shared" si="16"/>
        <v>1823.0783999999999</v>
      </c>
      <c r="L31" s="173">
        <f t="shared" si="8"/>
        <v>5398.403223416666</v>
      </c>
      <c r="M31" s="174">
        <f t="shared" si="17"/>
        <v>1.1246673382118053</v>
      </c>
    </row>
    <row r="32" spans="1:13" ht="15" hidden="1">
      <c r="A32" s="98">
        <v>210</v>
      </c>
      <c r="B32" s="99">
        <f t="shared" si="0"/>
        <v>8.4</v>
      </c>
      <c r="C32" s="100">
        <v>6</v>
      </c>
      <c r="D32" s="99">
        <f t="shared" si="1"/>
        <v>14.4</v>
      </c>
      <c r="E32" s="173">
        <f t="shared" si="12"/>
        <v>871.94898144</v>
      </c>
      <c r="F32" s="173">
        <f t="shared" si="13"/>
        <v>191.63337732000002</v>
      </c>
      <c r="G32" s="173">
        <f t="shared" si="11"/>
        <v>1069.344</v>
      </c>
      <c r="H32" s="173">
        <f t="shared" si="14"/>
        <v>173.7012</v>
      </c>
      <c r="I32" s="173">
        <f t="shared" si="5"/>
        <v>254.31845292</v>
      </c>
      <c r="J32" s="173">
        <f t="shared" si="15"/>
        <v>1145.0903121000001</v>
      </c>
      <c r="K32" s="173">
        <f t="shared" si="16"/>
        <v>1914.2323199999998</v>
      </c>
      <c r="L32" s="173">
        <f t="shared" si="8"/>
        <v>5620.268643779999</v>
      </c>
      <c r="M32" s="174">
        <f t="shared" si="17"/>
        <v>1.1151326674166664</v>
      </c>
    </row>
    <row r="33" spans="1:13" ht="15" hidden="1">
      <c r="A33" s="98">
        <v>220</v>
      </c>
      <c r="B33" s="99">
        <f t="shared" si="0"/>
        <v>8.8</v>
      </c>
      <c r="C33" s="100">
        <v>6</v>
      </c>
      <c r="D33" s="99">
        <f t="shared" si="1"/>
        <v>14.8</v>
      </c>
      <c r="E33" s="173">
        <f t="shared" si="12"/>
        <v>896.1697864800001</v>
      </c>
      <c r="F33" s="173">
        <f t="shared" si="13"/>
        <v>196.95652669000003</v>
      </c>
      <c r="G33" s="173">
        <f t="shared" si="11"/>
        <v>1099.0480000000002</v>
      </c>
      <c r="H33" s="173">
        <f t="shared" si="14"/>
        <v>178.52623333333332</v>
      </c>
      <c r="I33" s="173">
        <f t="shared" si="5"/>
        <v>266.42885544000006</v>
      </c>
      <c r="J33" s="173">
        <f t="shared" si="15"/>
        <v>1199.6184222000002</v>
      </c>
      <c r="K33" s="173">
        <f t="shared" si="16"/>
        <v>2005.38624</v>
      </c>
      <c r="L33" s="173">
        <f t="shared" si="8"/>
        <v>5842.134064143334</v>
      </c>
      <c r="M33" s="174">
        <f t="shared" si="17"/>
        <v>1.1064647848756315</v>
      </c>
    </row>
    <row r="34" spans="1:13" ht="15" hidden="1">
      <c r="A34" s="98">
        <v>230</v>
      </c>
      <c r="B34" s="99">
        <f t="shared" si="0"/>
        <v>9.2</v>
      </c>
      <c r="C34" s="100">
        <v>6</v>
      </c>
      <c r="D34" s="99">
        <f t="shared" si="1"/>
        <v>15.2</v>
      </c>
      <c r="E34" s="173">
        <f t="shared" si="12"/>
        <v>920.39059152</v>
      </c>
      <c r="F34" s="173">
        <f t="shared" si="13"/>
        <v>202.27967606</v>
      </c>
      <c r="G34" s="173">
        <f t="shared" si="11"/>
        <v>1128.752</v>
      </c>
      <c r="H34" s="173">
        <f t="shared" si="14"/>
        <v>183.35126666666665</v>
      </c>
      <c r="I34" s="173">
        <f t="shared" si="5"/>
        <v>278.53925796</v>
      </c>
      <c r="J34" s="173">
        <f t="shared" si="15"/>
        <v>1254.1465323000002</v>
      </c>
      <c r="K34" s="173">
        <f t="shared" si="16"/>
        <v>2096.5401599999996</v>
      </c>
      <c r="L34" s="173">
        <f t="shared" si="8"/>
        <v>6063.999484506667</v>
      </c>
      <c r="M34" s="174">
        <f t="shared" si="17"/>
        <v>1.0985506312512079</v>
      </c>
    </row>
    <row r="35" spans="1:13" ht="15" hidden="1">
      <c r="A35" s="98">
        <v>240</v>
      </c>
      <c r="B35" s="99">
        <f t="shared" si="0"/>
        <v>9.6</v>
      </c>
      <c r="C35" s="100">
        <v>6</v>
      </c>
      <c r="D35" s="99">
        <f t="shared" si="1"/>
        <v>15.6</v>
      </c>
      <c r="E35" s="173">
        <f t="shared" si="12"/>
        <v>944.6113965600001</v>
      </c>
      <c r="F35" s="173">
        <f t="shared" si="13"/>
        <v>207.60282543000002</v>
      </c>
      <c r="G35" s="173">
        <f t="shared" si="11"/>
        <v>1158.4560000000001</v>
      </c>
      <c r="H35" s="173">
        <f t="shared" si="14"/>
        <v>188.17629999999997</v>
      </c>
      <c r="I35" s="173">
        <f t="shared" si="5"/>
        <v>290.64966048</v>
      </c>
      <c r="J35" s="173">
        <f t="shared" si="15"/>
        <v>1308.6746424</v>
      </c>
      <c r="K35" s="173">
        <f t="shared" si="16"/>
        <v>2187.6940799999998</v>
      </c>
      <c r="L35" s="173">
        <f t="shared" si="8"/>
        <v>6285.864904870001</v>
      </c>
      <c r="M35" s="174">
        <f t="shared" si="17"/>
        <v>1.0912959904288195</v>
      </c>
    </row>
    <row r="36" spans="1:13" ht="15" hidden="1">
      <c r="A36" s="98">
        <v>250</v>
      </c>
      <c r="B36" s="99">
        <f t="shared" si="0"/>
        <v>10</v>
      </c>
      <c r="C36" s="100">
        <v>6</v>
      </c>
      <c r="D36" s="99">
        <f t="shared" si="1"/>
        <v>16</v>
      </c>
      <c r="E36" s="173">
        <f t="shared" si="12"/>
        <v>968.8322016000001</v>
      </c>
      <c r="F36" s="173">
        <f t="shared" si="13"/>
        <v>212.92597480000003</v>
      </c>
      <c r="G36" s="173">
        <f t="shared" si="11"/>
        <v>1188.16</v>
      </c>
      <c r="H36" s="173">
        <f t="shared" si="14"/>
        <v>193.00133333333332</v>
      </c>
      <c r="I36" s="173">
        <f t="shared" si="5"/>
        <v>302.760063</v>
      </c>
      <c r="J36" s="173">
        <f t="shared" si="15"/>
        <v>1363.2027525</v>
      </c>
      <c r="K36" s="173">
        <f t="shared" si="16"/>
        <v>2278.848</v>
      </c>
      <c r="L36" s="173">
        <f t="shared" si="8"/>
        <v>6507.730325233334</v>
      </c>
      <c r="M36" s="174">
        <f t="shared" si="17"/>
        <v>1.0846217208722224</v>
      </c>
    </row>
    <row r="37" spans="1:13" ht="15" hidden="1">
      <c r="A37" s="98">
        <v>260</v>
      </c>
      <c r="B37" s="99">
        <f t="shared" si="0"/>
        <v>10.4</v>
      </c>
      <c r="C37" s="100">
        <v>6</v>
      </c>
      <c r="D37" s="99">
        <f t="shared" si="1"/>
        <v>16.4</v>
      </c>
      <c r="E37" s="173">
        <f t="shared" si="12"/>
        <v>993.05300664</v>
      </c>
      <c r="F37" s="173">
        <f t="shared" si="13"/>
        <v>218.24912417</v>
      </c>
      <c r="G37" s="173">
        <f t="shared" si="11"/>
        <v>1217.864</v>
      </c>
      <c r="H37" s="173">
        <f t="shared" si="14"/>
        <v>197.82636666666664</v>
      </c>
      <c r="I37" s="173">
        <f t="shared" si="5"/>
        <v>314.8704655200001</v>
      </c>
      <c r="J37" s="173">
        <f t="shared" si="15"/>
        <v>1417.7308626000001</v>
      </c>
      <c r="K37" s="173">
        <f t="shared" si="16"/>
        <v>2370.0019199999997</v>
      </c>
      <c r="L37" s="173">
        <f t="shared" si="8"/>
        <v>6729.595745596666</v>
      </c>
      <c r="M37" s="174">
        <f t="shared" si="17"/>
        <v>1.0784608566661325</v>
      </c>
    </row>
    <row r="38" spans="1:13" ht="15" hidden="1">
      <c r="A38" s="98">
        <v>280</v>
      </c>
      <c r="B38" s="99">
        <f t="shared" si="0"/>
        <v>11.2</v>
      </c>
      <c r="C38" s="100">
        <v>6</v>
      </c>
      <c r="D38" s="99">
        <f t="shared" si="1"/>
        <v>17.2</v>
      </c>
      <c r="E38" s="173">
        <f t="shared" si="12"/>
        <v>1041.49461672</v>
      </c>
      <c r="F38" s="173">
        <f t="shared" si="13"/>
        <v>228.89542291000004</v>
      </c>
      <c r="G38" s="173">
        <f t="shared" si="11"/>
        <v>1277.272</v>
      </c>
      <c r="H38" s="173">
        <f t="shared" si="14"/>
        <v>207.47643333333332</v>
      </c>
      <c r="I38" s="173">
        <f t="shared" si="5"/>
        <v>339.09127056</v>
      </c>
      <c r="J38" s="173">
        <f t="shared" si="15"/>
        <v>1526.7870828000002</v>
      </c>
      <c r="K38" s="173">
        <f t="shared" si="16"/>
        <v>2552.3097599999996</v>
      </c>
      <c r="L38" s="173">
        <f t="shared" si="8"/>
        <v>7173.326586323334</v>
      </c>
      <c r="M38" s="174">
        <f t="shared" si="17"/>
        <v>1.0674593134409722</v>
      </c>
    </row>
    <row r="39" spans="1:13" ht="15" hidden="1">
      <c r="A39" s="98">
        <v>300</v>
      </c>
      <c r="B39" s="99">
        <f t="shared" si="0"/>
        <v>12</v>
      </c>
      <c r="C39" s="100">
        <v>6</v>
      </c>
      <c r="D39" s="99">
        <f t="shared" si="1"/>
        <v>18</v>
      </c>
      <c r="E39" s="173">
        <f t="shared" si="12"/>
        <v>1089.9362268000002</v>
      </c>
      <c r="F39" s="173">
        <f t="shared" si="13"/>
        <v>239.54172165000003</v>
      </c>
      <c r="G39" s="173">
        <f t="shared" si="11"/>
        <v>1336.68</v>
      </c>
      <c r="H39" s="173">
        <f t="shared" si="14"/>
        <v>217.1265</v>
      </c>
      <c r="I39" s="173">
        <f t="shared" si="5"/>
        <v>363.31207560000007</v>
      </c>
      <c r="J39" s="173">
        <f t="shared" si="15"/>
        <v>1635.843303</v>
      </c>
      <c r="K39" s="173">
        <f t="shared" si="16"/>
        <v>2734.6175999999996</v>
      </c>
      <c r="L39" s="173">
        <f t="shared" si="8"/>
        <v>7617.05742705</v>
      </c>
      <c r="M39" s="174">
        <f t="shared" si="17"/>
        <v>1.0579246426458333</v>
      </c>
    </row>
    <row r="40" spans="1:13" ht="15" hidden="1">
      <c r="A40" s="98">
        <v>320</v>
      </c>
      <c r="B40" s="99">
        <f t="shared" si="0"/>
        <v>12.8</v>
      </c>
      <c r="C40" s="100">
        <v>6</v>
      </c>
      <c r="D40" s="99">
        <f t="shared" si="1"/>
        <v>18.8</v>
      </c>
      <c r="E40" s="173">
        <f t="shared" si="12"/>
        <v>1138.3778368800001</v>
      </c>
      <c r="F40" s="173">
        <f t="shared" si="13"/>
        <v>250.18802039000005</v>
      </c>
      <c r="G40" s="173">
        <f t="shared" si="11"/>
        <v>1396.0880000000002</v>
      </c>
      <c r="H40" s="173">
        <f t="shared" si="14"/>
        <v>226.77656666666667</v>
      </c>
      <c r="I40" s="173">
        <f t="shared" si="5"/>
        <v>387.53288064000003</v>
      </c>
      <c r="J40" s="173">
        <f t="shared" si="15"/>
        <v>1744.8995232000002</v>
      </c>
      <c r="K40" s="173">
        <f t="shared" si="16"/>
        <v>2916.92544</v>
      </c>
      <c r="L40" s="173">
        <f t="shared" si="8"/>
        <v>8060.788267776667</v>
      </c>
      <c r="M40" s="174">
        <f t="shared" si="17"/>
        <v>1.049581805700087</v>
      </c>
    </row>
    <row r="41" spans="1:13" ht="15" hidden="1">
      <c r="A41" s="98">
        <v>340</v>
      </c>
      <c r="B41" s="99">
        <f t="shared" si="0"/>
        <v>13.6</v>
      </c>
      <c r="C41" s="100">
        <v>6</v>
      </c>
      <c r="D41" s="99">
        <f t="shared" si="1"/>
        <v>19.6</v>
      </c>
      <c r="E41" s="173">
        <f t="shared" si="12"/>
        <v>1186.81944696</v>
      </c>
      <c r="F41" s="173">
        <f t="shared" si="13"/>
        <v>260.83431913000004</v>
      </c>
      <c r="G41" s="173">
        <f t="shared" si="11"/>
        <v>1455.496</v>
      </c>
      <c r="H41" s="173">
        <f t="shared" si="14"/>
        <v>236.42663333333334</v>
      </c>
      <c r="I41" s="173">
        <f t="shared" si="5"/>
        <v>411.75368568</v>
      </c>
      <c r="J41" s="173">
        <f t="shared" si="15"/>
        <v>1853.9557434</v>
      </c>
      <c r="K41" s="173">
        <f t="shared" si="16"/>
        <v>3099.23328</v>
      </c>
      <c r="L41" s="173">
        <f t="shared" si="8"/>
        <v>8504.519108503333</v>
      </c>
      <c r="M41" s="174">
        <f t="shared" si="17"/>
        <v>1.0422204789832517</v>
      </c>
    </row>
    <row r="42" spans="1:13" ht="15" hidden="1">
      <c r="A42" s="98">
        <v>360</v>
      </c>
      <c r="B42" s="99">
        <f t="shared" si="0"/>
        <v>14.4</v>
      </c>
      <c r="C42" s="100">
        <v>6</v>
      </c>
      <c r="D42" s="99">
        <f t="shared" si="1"/>
        <v>20.4</v>
      </c>
      <c r="E42" s="173">
        <f t="shared" si="12"/>
        <v>1235.26105704</v>
      </c>
      <c r="F42" s="173">
        <f t="shared" si="13"/>
        <v>271.48061787</v>
      </c>
      <c r="G42" s="173">
        <f t="shared" si="11"/>
        <v>1514.904</v>
      </c>
      <c r="H42" s="173">
        <f t="shared" si="14"/>
        <v>246.07669999999996</v>
      </c>
      <c r="I42" s="173">
        <f t="shared" si="5"/>
        <v>435.97449072</v>
      </c>
      <c r="J42" s="173">
        <f t="shared" si="15"/>
        <v>1963.0119636000002</v>
      </c>
      <c r="K42" s="173">
        <f t="shared" si="16"/>
        <v>3281.54112</v>
      </c>
      <c r="L42" s="173">
        <f t="shared" si="8"/>
        <v>8948.249949230001</v>
      </c>
      <c r="M42" s="174">
        <f t="shared" si="17"/>
        <v>1.035677077457176</v>
      </c>
    </row>
    <row r="43" spans="1:13" ht="15" hidden="1">
      <c r="A43" s="98">
        <v>380</v>
      </c>
      <c r="B43" s="99">
        <f t="shared" si="0"/>
        <v>15.2</v>
      </c>
      <c r="C43" s="100">
        <v>6</v>
      </c>
      <c r="D43" s="99">
        <f t="shared" si="1"/>
        <v>21.2</v>
      </c>
      <c r="E43" s="173">
        <f t="shared" si="12"/>
        <v>1283.70266712</v>
      </c>
      <c r="F43" s="173">
        <f t="shared" si="13"/>
        <v>282.12691661</v>
      </c>
      <c r="G43" s="173">
        <f t="shared" si="11"/>
        <v>1574.3120000000001</v>
      </c>
      <c r="H43" s="173">
        <f t="shared" si="14"/>
        <v>255.72676666666663</v>
      </c>
      <c r="I43" s="173">
        <f t="shared" si="5"/>
        <v>460.19529575999996</v>
      </c>
      <c r="J43" s="173">
        <f t="shared" si="15"/>
        <v>2072.0681838</v>
      </c>
      <c r="K43" s="173">
        <f t="shared" si="16"/>
        <v>3463.84896</v>
      </c>
      <c r="L43" s="173">
        <f t="shared" si="8"/>
        <v>9391.980789956666</v>
      </c>
      <c r="M43" s="174">
        <f t="shared" si="17"/>
        <v>1.0298224550391082</v>
      </c>
    </row>
    <row r="44" spans="1:13" ht="15" hidden="1">
      <c r="A44" s="98">
        <v>400</v>
      </c>
      <c r="B44" s="99">
        <f t="shared" si="0"/>
        <v>16</v>
      </c>
      <c r="C44" s="100">
        <v>6</v>
      </c>
      <c r="D44" s="99">
        <f t="shared" si="1"/>
        <v>22</v>
      </c>
      <c r="E44" s="173">
        <f t="shared" si="12"/>
        <v>1332.1442772000003</v>
      </c>
      <c r="F44" s="173">
        <f t="shared" si="13"/>
        <v>292.77321535</v>
      </c>
      <c r="G44" s="173">
        <f t="shared" si="11"/>
        <v>1633.72</v>
      </c>
      <c r="H44" s="173">
        <f t="shared" si="14"/>
        <v>265.3768333333333</v>
      </c>
      <c r="I44" s="173">
        <f t="shared" si="5"/>
        <v>484.4161008000001</v>
      </c>
      <c r="J44" s="173">
        <f t="shared" si="15"/>
        <v>2181.124404</v>
      </c>
      <c r="K44" s="173">
        <f t="shared" si="16"/>
        <v>3646.1567999999997</v>
      </c>
      <c r="L44" s="173">
        <f t="shared" si="8"/>
        <v>9835.711630683334</v>
      </c>
      <c r="M44" s="174">
        <f t="shared" si="17"/>
        <v>1.0245532948628473</v>
      </c>
    </row>
    <row r="45" spans="1:13" ht="15" hidden="1">
      <c r="A45" s="98">
        <v>420</v>
      </c>
      <c r="B45" s="99">
        <f t="shared" si="0"/>
        <v>16.8</v>
      </c>
      <c r="C45" s="100">
        <v>6</v>
      </c>
      <c r="D45" s="99">
        <f t="shared" si="1"/>
        <v>22.8</v>
      </c>
      <c r="E45" s="173">
        <f t="shared" si="12"/>
        <v>1380.5858872800002</v>
      </c>
      <c r="F45" s="173">
        <f t="shared" si="13"/>
        <v>303.41951409000006</v>
      </c>
      <c r="G45" s="173">
        <f t="shared" si="11"/>
        <v>1693.1280000000002</v>
      </c>
      <c r="H45" s="173">
        <f t="shared" si="14"/>
        <v>275.0269</v>
      </c>
      <c r="I45" s="173">
        <f t="shared" si="5"/>
        <v>508.6369058400001</v>
      </c>
      <c r="J45" s="173">
        <f t="shared" si="15"/>
        <v>2290.1806242000002</v>
      </c>
      <c r="K45" s="173">
        <f t="shared" si="16"/>
        <v>3828.4646399999997</v>
      </c>
      <c r="L45" s="173">
        <f t="shared" si="8"/>
        <v>10279.44247141</v>
      </c>
      <c r="M45" s="174">
        <f t="shared" si="17"/>
        <v>1.0197859594652778</v>
      </c>
    </row>
    <row r="46" spans="1:13" ht="15" hidden="1">
      <c r="A46" s="98">
        <v>440</v>
      </c>
      <c r="B46" s="99">
        <f t="shared" si="0"/>
        <v>17.6</v>
      </c>
      <c r="C46" s="100">
        <v>6</v>
      </c>
      <c r="D46" s="99">
        <f t="shared" si="1"/>
        <v>23.6</v>
      </c>
      <c r="E46" s="173">
        <f t="shared" si="12"/>
        <v>1429.02749736</v>
      </c>
      <c r="F46" s="173">
        <f t="shared" si="13"/>
        <v>314.0658128300001</v>
      </c>
      <c r="G46" s="173">
        <f t="shared" si="11"/>
        <v>1752.5360000000003</v>
      </c>
      <c r="H46" s="173">
        <f t="shared" si="14"/>
        <v>284.67696666666666</v>
      </c>
      <c r="I46" s="173">
        <f t="shared" si="5"/>
        <v>532.85771088</v>
      </c>
      <c r="J46" s="173">
        <f t="shared" si="15"/>
        <v>2399.2368444000003</v>
      </c>
      <c r="K46" s="173">
        <f t="shared" si="16"/>
        <v>4010.77248</v>
      </c>
      <c r="L46" s="173">
        <f t="shared" si="8"/>
        <v>10723.173312136667</v>
      </c>
      <c r="M46" s="174">
        <f t="shared" si="17"/>
        <v>1.0154520181947602</v>
      </c>
    </row>
    <row r="47" spans="1:13" ht="15" hidden="1">
      <c r="A47" s="98">
        <v>460</v>
      </c>
      <c r="B47" s="99">
        <f t="shared" si="0"/>
        <v>18.4</v>
      </c>
      <c r="C47" s="100">
        <v>6</v>
      </c>
      <c r="D47" s="99">
        <f t="shared" si="1"/>
        <v>24.4</v>
      </c>
      <c r="E47" s="173">
        <f t="shared" si="12"/>
        <v>1477.46910744</v>
      </c>
      <c r="F47" s="173">
        <f t="shared" si="13"/>
        <v>324.71211157</v>
      </c>
      <c r="G47" s="173">
        <f t="shared" si="11"/>
        <v>1811.944</v>
      </c>
      <c r="H47" s="173">
        <f t="shared" si="14"/>
        <v>294.3270333333333</v>
      </c>
      <c r="I47" s="173">
        <f t="shared" si="5"/>
        <v>557.07851592</v>
      </c>
      <c r="J47" s="173">
        <f t="shared" si="15"/>
        <v>2508.2930646000004</v>
      </c>
      <c r="K47" s="173">
        <f t="shared" si="16"/>
        <v>4193.080319999999</v>
      </c>
      <c r="L47" s="173">
        <f t="shared" si="8"/>
        <v>11166.904152863333</v>
      </c>
      <c r="M47" s="174">
        <f t="shared" si="17"/>
        <v>1.0114949413825483</v>
      </c>
    </row>
    <row r="48" spans="1:13" ht="15" hidden="1">
      <c r="A48" s="98">
        <v>480</v>
      </c>
      <c r="B48" s="99">
        <f t="shared" si="0"/>
        <v>19.2</v>
      </c>
      <c r="C48" s="100">
        <v>6</v>
      </c>
      <c r="D48" s="99">
        <f t="shared" si="1"/>
        <v>25.2</v>
      </c>
      <c r="E48" s="173">
        <f t="shared" si="12"/>
        <v>1525.91071752</v>
      </c>
      <c r="F48" s="173">
        <f t="shared" si="13"/>
        <v>335.35841031</v>
      </c>
      <c r="G48" s="173">
        <f t="shared" si="11"/>
        <v>1871.352</v>
      </c>
      <c r="H48" s="173">
        <f t="shared" si="14"/>
        <v>303.97709999999995</v>
      </c>
      <c r="I48" s="173">
        <f t="shared" si="5"/>
        <v>581.2993209599999</v>
      </c>
      <c r="J48" s="173">
        <f t="shared" si="15"/>
        <v>2617.3492848</v>
      </c>
      <c r="K48" s="173">
        <f t="shared" si="16"/>
        <v>4375.3881599999995</v>
      </c>
      <c r="L48" s="173">
        <f t="shared" si="8"/>
        <v>11610.63499359</v>
      </c>
      <c r="M48" s="174">
        <f t="shared" si="17"/>
        <v>1.0078676209713542</v>
      </c>
    </row>
    <row r="49" spans="1:13" ht="15" hidden="1">
      <c r="A49" s="98">
        <v>500</v>
      </c>
      <c r="B49" s="99">
        <f t="shared" si="0"/>
        <v>20</v>
      </c>
      <c r="C49" s="100">
        <v>6</v>
      </c>
      <c r="D49" s="99">
        <f t="shared" si="1"/>
        <v>26</v>
      </c>
      <c r="E49" s="173">
        <f t="shared" si="12"/>
        <v>1574.3523276</v>
      </c>
      <c r="F49" s="173">
        <f t="shared" si="13"/>
        <v>346.0047090500001</v>
      </c>
      <c r="G49" s="173">
        <f t="shared" si="11"/>
        <v>1930.7600000000002</v>
      </c>
      <c r="H49" s="173">
        <f t="shared" si="14"/>
        <v>313.62716666666665</v>
      </c>
      <c r="I49" s="173">
        <f t="shared" si="5"/>
        <v>605.520126</v>
      </c>
      <c r="J49" s="173">
        <f t="shared" si="15"/>
        <v>2726.405505</v>
      </c>
      <c r="K49" s="173">
        <f t="shared" si="16"/>
        <v>4557.696</v>
      </c>
      <c r="L49" s="173">
        <f t="shared" si="8"/>
        <v>12054.365834316668</v>
      </c>
      <c r="M49" s="174">
        <f t="shared" si="17"/>
        <v>1.0045304861930557</v>
      </c>
    </row>
    <row r="50" spans="2:17" ht="15" hidden="1">
      <c r="B50" s="94">
        <f>SUM(B8:B49)</f>
        <v>332.4</v>
      </c>
      <c r="C50" s="172">
        <f aca="true" t="shared" si="18" ref="C50:L50">SUM(C8:C49)</f>
        <v>220.5</v>
      </c>
      <c r="D50" s="172">
        <f t="shared" si="18"/>
        <v>552.9</v>
      </c>
      <c r="E50" s="172">
        <f t="shared" si="18"/>
        <v>33593.688167219996</v>
      </c>
      <c r="F50" s="172">
        <f t="shared" si="18"/>
        <v>7316.220874935001</v>
      </c>
      <c r="G50" s="172">
        <f t="shared" si="18"/>
        <v>41058.35400000001</v>
      </c>
      <c r="H50" s="172">
        <f t="shared" si="18"/>
        <v>6624.2211625</v>
      </c>
      <c r="I50" s="172">
        <f t="shared" si="18"/>
        <v>10081.029670560001</v>
      </c>
      <c r="J50" s="172">
        <f t="shared" si="18"/>
        <v>44205.45746310003</v>
      </c>
      <c r="K50" s="172">
        <f t="shared" si="18"/>
        <v>75315.40848</v>
      </c>
      <c r="L50" s="172">
        <f t="shared" si="18"/>
        <v>218194.37981831504</v>
      </c>
      <c r="M50" s="172">
        <f>SUM(M8:M49)</f>
        <v>68.27686321741058</v>
      </c>
      <c r="Q50" s="176"/>
    </row>
    <row r="51" spans="2:17" ht="15" hidden="1">
      <c r="B51" s="94">
        <v>332.4</v>
      </c>
      <c r="C51" s="172">
        <v>220.5</v>
      </c>
      <c r="D51" s="172">
        <v>552.9</v>
      </c>
      <c r="E51" s="172">
        <v>7260.32405727</v>
      </c>
      <c r="F51" s="172">
        <v>1411.7296778025002</v>
      </c>
      <c r="G51" s="172">
        <v>1774.2561</v>
      </c>
      <c r="H51" s="172">
        <v>595.058625</v>
      </c>
      <c r="I51" s="172">
        <v>2190.91006386</v>
      </c>
      <c r="J51" s="172">
        <v>5395.168709999998</v>
      </c>
      <c r="K51" s="172">
        <v>11251.940543999995</v>
      </c>
      <c r="L51" s="172">
        <v>29879.387777932512</v>
      </c>
      <c r="M51" s="172">
        <v>6.97636536332065</v>
      </c>
      <c r="Q51" s="176"/>
    </row>
    <row r="52" ht="15" hidden="1">
      <c r="Q52" s="176"/>
    </row>
    <row r="53" ht="15">
      <c r="Q53" s="176"/>
    </row>
    <row r="54" ht="15">
      <c r="Q54" s="176"/>
    </row>
    <row r="55" ht="15">
      <c r="Q55" s="176"/>
    </row>
    <row r="56" ht="15">
      <c r="Q56" s="176"/>
    </row>
    <row r="57" ht="15">
      <c r="Q57" s="176"/>
    </row>
    <row r="58" ht="15">
      <c r="Q58" s="176"/>
    </row>
    <row r="59" ht="15">
      <c r="Q59" s="176"/>
    </row>
    <row r="60" ht="15">
      <c r="Q60" s="176"/>
    </row>
    <row r="61" ht="15">
      <c r="Q61" s="176"/>
    </row>
    <row r="62" ht="15">
      <c r="Q62" s="176"/>
    </row>
    <row r="63" ht="15">
      <c r="Q63" s="176"/>
    </row>
    <row r="64" ht="15">
      <c r="Q64" s="176"/>
    </row>
    <row r="65" ht="15">
      <c r="Q65" s="176"/>
    </row>
    <row r="66" ht="15">
      <c r="Q66" s="176"/>
    </row>
    <row r="67" ht="15">
      <c r="Q67" s="176"/>
    </row>
    <row r="68" ht="15">
      <c r="Q68" s="176"/>
    </row>
    <row r="69" ht="15">
      <c r="Q69" s="176"/>
    </row>
    <row r="70" ht="15">
      <c r="Q70" s="176"/>
    </row>
    <row r="71" ht="15">
      <c r="Q71" s="176"/>
    </row>
    <row r="72" ht="15">
      <c r="Q72" s="176"/>
    </row>
    <row r="73" ht="15">
      <c r="Q73" s="176"/>
    </row>
    <row r="74" ht="15">
      <c r="Q74" s="176"/>
    </row>
    <row r="75" ht="15">
      <c r="Q75" s="176"/>
    </row>
    <row r="76" ht="15">
      <c r="Q76" s="176"/>
    </row>
    <row r="77" ht="15">
      <c r="Q77" s="176"/>
    </row>
    <row r="78" ht="15">
      <c r="Q78" s="176"/>
    </row>
    <row r="79" ht="15">
      <c r="Q79" s="176"/>
    </row>
    <row r="80" ht="15">
      <c r="Q80" s="176"/>
    </row>
    <row r="81" ht="15">
      <c r="Q81" s="176"/>
    </row>
    <row r="82" ht="15">
      <c r="Q82" s="176"/>
    </row>
    <row r="83" ht="15">
      <c r="Q83" s="176"/>
    </row>
    <row r="84" ht="15">
      <c r="Q84" s="176"/>
    </row>
    <row r="85" ht="15">
      <c r="Q85" s="176"/>
    </row>
    <row r="86" ht="15">
      <c r="Q86" s="176"/>
    </row>
    <row r="87" ht="15">
      <c r="Q87" s="176"/>
    </row>
    <row r="88" ht="15">
      <c r="Q88" s="176"/>
    </row>
    <row r="89" ht="15">
      <c r="Q89" s="176"/>
    </row>
    <row r="90" ht="15">
      <c r="Q90" s="176"/>
    </row>
    <row r="91" ht="15">
      <c r="Q91" s="176"/>
    </row>
    <row r="92" ht="15">
      <c r="Q92" s="176"/>
    </row>
    <row r="93" ht="15">
      <c r="Q93" s="176"/>
    </row>
  </sheetData>
  <sheetProtection/>
  <printOptions horizontalCentered="1"/>
  <pageMargins left="0.9448818897637796" right="0.4330708661417323" top="1.3385826771653544" bottom="0.1968503937007874" header="0" footer="0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PageLayoutView="0" workbookViewId="0" topLeftCell="K1">
      <selection activeCell="O13" sqref="O13"/>
    </sheetView>
  </sheetViews>
  <sheetFormatPr defaultColWidth="11.19921875" defaultRowHeight="15"/>
  <cols>
    <col min="1" max="1" width="9" style="95" hidden="1" customWidth="1"/>
    <col min="2" max="2" width="7.796875" style="0" hidden="1" customWidth="1"/>
    <col min="3" max="3" width="9" style="95" hidden="1" customWidth="1"/>
    <col min="4" max="4" width="9" style="0" hidden="1" customWidth="1"/>
    <col min="5" max="5" width="9" style="95" hidden="1" customWidth="1"/>
    <col min="6" max="6" width="6" style="0" hidden="1" customWidth="1"/>
    <col min="7" max="7" width="9" style="0" hidden="1" customWidth="1"/>
    <col min="8" max="8" width="10.8984375" style="0" hidden="1" customWidth="1"/>
    <col min="9" max="10" width="0" style="0" hidden="1" customWidth="1"/>
  </cols>
  <sheetData>
    <row r="1" ht="15.75" thickBot="1">
      <c r="C1" s="95" t="s">
        <v>1256</v>
      </c>
    </row>
    <row r="2" spans="1:10" ht="15.75" thickBot="1">
      <c r="A2" s="103">
        <v>36341</v>
      </c>
      <c r="B2" s="108" t="s">
        <v>1252</v>
      </c>
      <c r="C2" s="104">
        <v>36372</v>
      </c>
      <c r="D2" s="108" t="s">
        <v>1252</v>
      </c>
      <c r="E2" s="104" t="s">
        <v>1255</v>
      </c>
      <c r="F2" s="111" t="s">
        <v>1252</v>
      </c>
      <c r="G2" s="104">
        <v>36433</v>
      </c>
      <c r="H2" s="108" t="s">
        <v>1252</v>
      </c>
      <c r="I2" s="104">
        <v>36464</v>
      </c>
      <c r="J2" s="108" t="s">
        <v>1252</v>
      </c>
    </row>
    <row r="3" spans="1:10" ht="15">
      <c r="A3" s="105">
        <v>1</v>
      </c>
      <c r="B3" s="109">
        <v>2.77</v>
      </c>
      <c r="C3" s="107">
        <v>1</v>
      </c>
      <c r="D3" s="109">
        <v>2.96</v>
      </c>
      <c r="E3" s="107">
        <v>1</v>
      </c>
      <c r="F3" s="112">
        <v>2.98</v>
      </c>
      <c r="G3" s="107">
        <v>1</v>
      </c>
      <c r="H3" s="109">
        <v>2.92</v>
      </c>
      <c r="I3" s="107">
        <v>1</v>
      </c>
      <c r="J3" s="109"/>
    </row>
    <row r="4" spans="1:10" ht="15">
      <c r="A4" s="106">
        <v>2</v>
      </c>
      <c r="B4" s="110">
        <v>2.77</v>
      </c>
      <c r="C4" s="98">
        <v>2</v>
      </c>
      <c r="D4" s="110"/>
      <c r="E4" s="98">
        <v>2</v>
      </c>
      <c r="F4" s="113">
        <v>2.99</v>
      </c>
      <c r="G4" s="98">
        <v>2</v>
      </c>
      <c r="H4" s="110">
        <v>2.92</v>
      </c>
      <c r="I4" s="98">
        <v>2</v>
      </c>
      <c r="J4" s="110"/>
    </row>
    <row r="5" spans="1:10" ht="15">
      <c r="A5" s="106">
        <v>3</v>
      </c>
      <c r="B5" s="110">
        <v>2.77</v>
      </c>
      <c r="C5" s="98">
        <v>3</v>
      </c>
      <c r="D5" s="110"/>
      <c r="E5" s="98">
        <v>3</v>
      </c>
      <c r="F5" s="113">
        <v>2.99</v>
      </c>
      <c r="G5" s="98">
        <v>3</v>
      </c>
      <c r="H5" s="110">
        <v>2.91</v>
      </c>
      <c r="I5" s="98">
        <v>3</v>
      </c>
      <c r="J5" s="110">
        <v>2.86</v>
      </c>
    </row>
    <row r="6" spans="1:10" ht="15">
      <c r="A6" s="106">
        <v>4</v>
      </c>
      <c r="B6" s="110">
        <v>2.77</v>
      </c>
      <c r="C6" s="98">
        <v>4</v>
      </c>
      <c r="D6" s="110">
        <v>2.98</v>
      </c>
      <c r="E6" s="98">
        <v>4</v>
      </c>
      <c r="F6" s="113">
        <v>2.98</v>
      </c>
      <c r="G6" s="98">
        <v>4</v>
      </c>
      <c r="H6" s="110"/>
      <c r="I6" s="98">
        <v>4</v>
      </c>
      <c r="J6" s="110">
        <v>2.87</v>
      </c>
    </row>
    <row r="7" spans="1:10" ht="15">
      <c r="A7" s="106">
        <v>5</v>
      </c>
      <c r="B7" s="110"/>
      <c r="C7" s="98">
        <v>5</v>
      </c>
      <c r="D7" s="110">
        <v>2.95</v>
      </c>
      <c r="E7" s="98">
        <v>5</v>
      </c>
      <c r="F7" s="113">
        <v>2.94</v>
      </c>
      <c r="G7" s="98">
        <v>5</v>
      </c>
      <c r="H7" s="110"/>
      <c r="I7" s="98">
        <v>5</v>
      </c>
      <c r="J7" s="110">
        <v>2.87</v>
      </c>
    </row>
    <row r="8" spans="1:10" ht="15">
      <c r="A8" s="106">
        <v>6</v>
      </c>
      <c r="B8" s="110"/>
      <c r="C8" s="98">
        <v>6</v>
      </c>
      <c r="D8" s="110">
        <v>2.95</v>
      </c>
      <c r="E8" s="98">
        <v>6</v>
      </c>
      <c r="F8" s="113"/>
      <c r="G8" s="98">
        <v>6</v>
      </c>
      <c r="H8" s="110">
        <v>2.91</v>
      </c>
      <c r="I8" s="98">
        <v>6</v>
      </c>
      <c r="J8" s="110">
        <v>2.87</v>
      </c>
    </row>
    <row r="9" spans="1:10" ht="15">
      <c r="A9" s="106">
        <v>7</v>
      </c>
      <c r="B9" s="110">
        <v>2.76</v>
      </c>
      <c r="C9" s="98">
        <v>7</v>
      </c>
      <c r="D9" s="110">
        <v>2.95</v>
      </c>
      <c r="E9" s="98">
        <v>7</v>
      </c>
      <c r="F9" s="113"/>
      <c r="G9" s="98">
        <v>7</v>
      </c>
      <c r="H9" s="110">
        <v>2.89</v>
      </c>
      <c r="I9" s="98">
        <v>7</v>
      </c>
      <c r="J9" s="110">
        <v>2.86</v>
      </c>
    </row>
    <row r="10" spans="1:10" ht="15">
      <c r="A10" s="106">
        <v>8</v>
      </c>
      <c r="B10" s="110">
        <v>2.76</v>
      </c>
      <c r="C10" s="98">
        <v>8</v>
      </c>
      <c r="D10" s="110">
        <v>2.94</v>
      </c>
      <c r="E10" s="98">
        <v>8</v>
      </c>
      <c r="F10" s="113">
        <v>2.96</v>
      </c>
      <c r="G10" s="98">
        <v>8</v>
      </c>
      <c r="H10" s="110">
        <v>2.88</v>
      </c>
      <c r="I10" s="98">
        <v>8</v>
      </c>
      <c r="J10" s="110"/>
    </row>
    <row r="11" spans="1:10" ht="15">
      <c r="A11" s="106">
        <v>9</v>
      </c>
      <c r="B11" s="110">
        <v>2.76</v>
      </c>
      <c r="C11" s="98">
        <v>9</v>
      </c>
      <c r="D11" s="110"/>
      <c r="E11" s="98">
        <v>9</v>
      </c>
      <c r="F11" s="113">
        <v>2.96</v>
      </c>
      <c r="G11" s="98">
        <v>9</v>
      </c>
      <c r="H11" s="110">
        <v>2.86</v>
      </c>
      <c r="I11" s="98">
        <v>9</v>
      </c>
      <c r="J11" s="110"/>
    </row>
    <row r="12" spans="1:10" ht="15">
      <c r="A12" s="106">
        <v>10</v>
      </c>
      <c r="B12" s="110">
        <v>2.74</v>
      </c>
      <c r="C12" s="98">
        <v>10</v>
      </c>
      <c r="D12" s="110"/>
      <c r="E12" s="98">
        <v>10</v>
      </c>
      <c r="F12" s="113">
        <v>2.96</v>
      </c>
      <c r="G12" s="98">
        <v>10</v>
      </c>
      <c r="H12" s="110">
        <v>2.86</v>
      </c>
      <c r="I12" s="98">
        <v>10</v>
      </c>
      <c r="J12" s="110">
        <v>2.86</v>
      </c>
    </row>
    <row r="13" spans="1:10" ht="15">
      <c r="A13" s="106">
        <v>11</v>
      </c>
      <c r="B13" s="110">
        <v>2.75</v>
      </c>
      <c r="C13" s="98">
        <v>11</v>
      </c>
      <c r="D13" s="110">
        <v>2.93</v>
      </c>
      <c r="E13" s="98">
        <v>11</v>
      </c>
      <c r="F13" s="113">
        <v>2.92</v>
      </c>
      <c r="G13" s="98">
        <v>11</v>
      </c>
      <c r="H13" s="110"/>
      <c r="I13" s="98">
        <v>11</v>
      </c>
      <c r="J13" s="110">
        <v>2.87</v>
      </c>
    </row>
    <row r="14" spans="1:10" ht="15">
      <c r="A14" s="106">
        <v>12</v>
      </c>
      <c r="B14" s="110"/>
      <c r="C14" s="98">
        <v>12</v>
      </c>
      <c r="D14" s="110">
        <v>2.92</v>
      </c>
      <c r="E14" s="98">
        <v>12</v>
      </c>
      <c r="F14" s="113">
        <v>2.92</v>
      </c>
      <c r="G14" s="98">
        <v>12</v>
      </c>
      <c r="H14" s="110"/>
      <c r="I14" s="98">
        <v>12</v>
      </c>
      <c r="J14" s="110">
        <v>2.87</v>
      </c>
    </row>
    <row r="15" spans="1:10" ht="15">
      <c r="A15" s="106">
        <v>13</v>
      </c>
      <c r="B15" s="110"/>
      <c r="C15" s="98">
        <v>13</v>
      </c>
      <c r="D15" s="110">
        <v>2.91</v>
      </c>
      <c r="E15" s="98">
        <v>13</v>
      </c>
      <c r="F15" s="113"/>
      <c r="G15" s="98">
        <v>13</v>
      </c>
      <c r="H15" s="110"/>
      <c r="I15" s="98">
        <v>13</v>
      </c>
      <c r="J15" s="110">
        <v>2.86</v>
      </c>
    </row>
    <row r="16" spans="1:10" ht="15">
      <c r="A16" s="106">
        <v>14</v>
      </c>
      <c r="B16" s="110">
        <v>2.75</v>
      </c>
      <c r="C16" s="98">
        <v>14</v>
      </c>
      <c r="D16" s="110">
        <v>2.92</v>
      </c>
      <c r="E16" s="98">
        <v>14</v>
      </c>
      <c r="F16" s="113"/>
      <c r="G16" s="98">
        <v>14</v>
      </c>
      <c r="H16" s="110">
        <v>2.86</v>
      </c>
      <c r="I16" s="98">
        <v>14</v>
      </c>
      <c r="J16" s="110">
        <v>2.88</v>
      </c>
    </row>
    <row r="17" spans="1:10" ht="15">
      <c r="A17" s="106">
        <v>15</v>
      </c>
      <c r="B17" s="110">
        <v>2.75</v>
      </c>
      <c r="C17" s="98">
        <v>15</v>
      </c>
      <c r="D17" s="110">
        <v>2.91</v>
      </c>
      <c r="E17" s="98">
        <v>15</v>
      </c>
      <c r="F17" s="113">
        <v>2.91</v>
      </c>
      <c r="G17" s="98">
        <v>15</v>
      </c>
      <c r="H17" s="110">
        <v>2.86</v>
      </c>
      <c r="I17" s="98">
        <v>15</v>
      </c>
      <c r="J17" s="110"/>
    </row>
    <row r="18" spans="1:10" ht="15">
      <c r="A18" s="106">
        <v>16</v>
      </c>
      <c r="B18" s="110">
        <v>2.76</v>
      </c>
      <c r="C18" s="98">
        <v>16</v>
      </c>
      <c r="D18" s="110"/>
      <c r="E18" s="98">
        <v>16</v>
      </c>
      <c r="F18" s="113">
        <v>2.91</v>
      </c>
      <c r="G18" s="98">
        <v>16</v>
      </c>
      <c r="H18" s="110">
        <v>2.86</v>
      </c>
      <c r="I18" s="98">
        <v>16</v>
      </c>
      <c r="J18" s="110"/>
    </row>
    <row r="19" spans="1:10" ht="15">
      <c r="A19" s="106">
        <v>17</v>
      </c>
      <c r="B19" s="110">
        <v>2.77</v>
      </c>
      <c r="C19" s="98">
        <v>17</v>
      </c>
      <c r="D19" s="110"/>
      <c r="E19" s="98">
        <v>17</v>
      </c>
      <c r="F19" s="113">
        <v>2.93</v>
      </c>
      <c r="G19" s="98">
        <v>17</v>
      </c>
      <c r="H19" s="110">
        <v>2.86</v>
      </c>
      <c r="I19" s="98">
        <v>17</v>
      </c>
      <c r="J19" s="110">
        <v>2.88</v>
      </c>
    </row>
    <row r="20" spans="1:10" ht="15">
      <c r="A20" s="106">
        <v>18</v>
      </c>
      <c r="B20" s="110">
        <v>2.78</v>
      </c>
      <c r="C20" s="98">
        <v>18</v>
      </c>
      <c r="D20" s="110">
        <v>2.91</v>
      </c>
      <c r="E20" s="98">
        <v>18</v>
      </c>
      <c r="F20" s="113">
        <v>2.93</v>
      </c>
      <c r="G20" s="98">
        <v>18</v>
      </c>
      <c r="H20" s="110"/>
      <c r="I20" s="98">
        <v>18</v>
      </c>
      <c r="J20" s="110">
        <v>2.87</v>
      </c>
    </row>
    <row r="21" spans="1:10" ht="15">
      <c r="A21" s="106">
        <v>19</v>
      </c>
      <c r="B21" s="110"/>
      <c r="C21" s="98">
        <v>19</v>
      </c>
      <c r="D21" s="110">
        <v>2.92</v>
      </c>
      <c r="E21" s="98">
        <v>19</v>
      </c>
      <c r="F21" s="113">
        <v>2.93</v>
      </c>
      <c r="G21" s="98">
        <v>19</v>
      </c>
      <c r="H21" s="110"/>
      <c r="I21" s="98">
        <v>19</v>
      </c>
      <c r="J21" s="110">
        <v>2.89</v>
      </c>
    </row>
    <row r="22" spans="1:10" ht="15">
      <c r="A22" s="106">
        <v>20</v>
      </c>
      <c r="B22" s="110"/>
      <c r="C22" s="98">
        <v>20</v>
      </c>
      <c r="D22" s="110">
        <v>2.93</v>
      </c>
      <c r="E22" s="98">
        <v>20</v>
      </c>
      <c r="F22" s="113"/>
      <c r="G22" s="98">
        <v>20</v>
      </c>
      <c r="H22" s="110">
        <v>2.86</v>
      </c>
      <c r="I22" s="98">
        <v>20</v>
      </c>
      <c r="J22" s="110">
        <v>2.89</v>
      </c>
    </row>
    <row r="23" spans="1:10" ht="15">
      <c r="A23" s="106">
        <v>21</v>
      </c>
      <c r="B23" s="110">
        <v>2.77</v>
      </c>
      <c r="C23" s="98">
        <v>21</v>
      </c>
      <c r="D23" s="110">
        <v>2.97</v>
      </c>
      <c r="E23" s="98">
        <v>21</v>
      </c>
      <c r="F23" s="113"/>
      <c r="G23" s="98">
        <v>21</v>
      </c>
      <c r="H23" s="110">
        <v>2.87</v>
      </c>
      <c r="I23" s="98">
        <v>21</v>
      </c>
      <c r="J23" s="110">
        <v>2.9</v>
      </c>
    </row>
    <row r="24" spans="1:10" ht="15">
      <c r="A24" s="106">
        <v>22</v>
      </c>
      <c r="B24" s="110">
        <v>2.76</v>
      </c>
      <c r="C24" s="98">
        <v>22</v>
      </c>
      <c r="D24" s="110">
        <v>2.97</v>
      </c>
      <c r="E24" s="98">
        <v>22</v>
      </c>
      <c r="F24" s="113">
        <v>2.92</v>
      </c>
      <c r="G24" s="98">
        <v>22</v>
      </c>
      <c r="H24" s="110">
        <v>2.86</v>
      </c>
      <c r="I24" s="98">
        <v>22</v>
      </c>
      <c r="J24" s="110"/>
    </row>
    <row r="25" spans="1:10" ht="15">
      <c r="A25" s="106">
        <v>23</v>
      </c>
      <c r="B25" s="110">
        <v>2.76</v>
      </c>
      <c r="C25" s="98">
        <v>23</v>
      </c>
      <c r="D25" s="110"/>
      <c r="E25" s="98">
        <v>23</v>
      </c>
      <c r="F25" s="113">
        <v>2.92</v>
      </c>
      <c r="G25" s="98">
        <v>23</v>
      </c>
      <c r="H25" s="110">
        <v>2.86</v>
      </c>
      <c r="I25" s="98">
        <v>23</v>
      </c>
      <c r="J25" s="110"/>
    </row>
    <row r="26" spans="1:10" ht="15">
      <c r="A26" s="106">
        <v>24</v>
      </c>
      <c r="B26" s="110">
        <v>2.78</v>
      </c>
      <c r="C26" s="98">
        <v>24</v>
      </c>
      <c r="D26" s="110"/>
      <c r="E26" s="98">
        <v>24</v>
      </c>
      <c r="F26" s="113">
        <v>2.92</v>
      </c>
      <c r="G26" s="98">
        <v>24</v>
      </c>
      <c r="H26" s="110">
        <v>2.86</v>
      </c>
      <c r="I26" s="98">
        <v>24</v>
      </c>
      <c r="J26" s="110">
        <v>2.9</v>
      </c>
    </row>
    <row r="27" spans="1:10" ht="15">
      <c r="A27" s="106">
        <v>25</v>
      </c>
      <c r="B27" s="110">
        <v>2.79</v>
      </c>
      <c r="C27" s="98">
        <v>25</v>
      </c>
      <c r="D27" s="110">
        <v>2.94</v>
      </c>
      <c r="E27" s="98">
        <v>25</v>
      </c>
      <c r="F27" s="113">
        <v>2.91</v>
      </c>
      <c r="G27" s="98">
        <v>25</v>
      </c>
      <c r="H27" s="110"/>
      <c r="I27" s="98">
        <v>25</v>
      </c>
      <c r="J27" s="110">
        <v>2.93</v>
      </c>
    </row>
    <row r="28" spans="1:10" ht="15">
      <c r="A28" s="106">
        <v>26</v>
      </c>
      <c r="B28" s="110"/>
      <c r="C28" s="98">
        <v>26</v>
      </c>
      <c r="D28" s="110">
        <v>2.96</v>
      </c>
      <c r="E28" s="98">
        <v>26</v>
      </c>
      <c r="F28" s="113">
        <v>2.92</v>
      </c>
      <c r="G28" s="98">
        <v>26</v>
      </c>
      <c r="H28" s="110"/>
      <c r="I28" s="98">
        <v>26</v>
      </c>
      <c r="J28" s="110">
        <v>2.98</v>
      </c>
    </row>
    <row r="29" spans="1:10" ht="15">
      <c r="A29" s="106">
        <v>27</v>
      </c>
      <c r="B29" s="110"/>
      <c r="C29" s="98">
        <v>27</v>
      </c>
      <c r="D29" s="110">
        <v>2.98</v>
      </c>
      <c r="E29" s="98">
        <v>27</v>
      </c>
      <c r="F29" s="113"/>
      <c r="G29" s="98">
        <v>27</v>
      </c>
      <c r="H29" s="110">
        <v>2.85</v>
      </c>
      <c r="I29" s="98">
        <v>27</v>
      </c>
      <c r="J29" s="110">
        <v>2.97</v>
      </c>
    </row>
    <row r="30" spans="1:10" ht="15">
      <c r="A30" s="106">
        <v>28</v>
      </c>
      <c r="B30" s="110">
        <v>2.81</v>
      </c>
      <c r="C30" s="98">
        <v>28</v>
      </c>
      <c r="D30" s="110">
        <v>2.97</v>
      </c>
      <c r="E30" s="98">
        <v>28</v>
      </c>
      <c r="F30" s="113"/>
      <c r="G30" s="98">
        <v>28</v>
      </c>
      <c r="H30" s="110">
        <v>2.87</v>
      </c>
      <c r="I30" s="98">
        <v>28</v>
      </c>
      <c r="J30" s="110">
        <v>2.99</v>
      </c>
    </row>
    <row r="31" spans="1:10" ht="15">
      <c r="A31" s="106">
        <v>29</v>
      </c>
      <c r="B31" s="110">
        <v>2.82</v>
      </c>
      <c r="C31" s="98">
        <v>29</v>
      </c>
      <c r="D31" s="110">
        <v>2.97</v>
      </c>
      <c r="E31" s="98">
        <v>29</v>
      </c>
      <c r="F31" s="113">
        <v>2.92</v>
      </c>
      <c r="G31" s="98">
        <v>29</v>
      </c>
      <c r="H31" s="110">
        <v>2.87</v>
      </c>
      <c r="I31" s="98">
        <v>29</v>
      </c>
      <c r="J31" s="110"/>
    </row>
    <row r="32" spans="1:10" ht="15">
      <c r="A32" s="106">
        <v>30</v>
      </c>
      <c r="B32" s="110">
        <v>2.87</v>
      </c>
      <c r="C32" s="98">
        <v>30</v>
      </c>
      <c r="D32" s="110"/>
      <c r="E32" s="98">
        <v>30</v>
      </c>
      <c r="F32" s="113">
        <v>2.93</v>
      </c>
      <c r="G32" s="98">
        <v>30</v>
      </c>
      <c r="H32" s="110">
        <v>2.87</v>
      </c>
      <c r="I32" s="98">
        <v>30</v>
      </c>
      <c r="J32" s="110"/>
    </row>
    <row r="33" spans="1:10" ht="15.75" thickBot="1">
      <c r="A33" s="114">
        <v>31</v>
      </c>
      <c r="B33" s="115">
        <v>2.9</v>
      </c>
      <c r="C33" s="116">
        <v>31</v>
      </c>
      <c r="D33" s="115"/>
      <c r="E33" s="116"/>
      <c r="F33" s="117"/>
      <c r="G33" s="116">
        <v>31</v>
      </c>
      <c r="H33" s="115">
        <v>2.88</v>
      </c>
      <c r="I33" s="116">
        <v>31</v>
      </c>
      <c r="J33" s="115"/>
    </row>
    <row r="34" spans="1:10" ht="15.75" thickBot="1">
      <c r="A34" s="118" t="s">
        <v>1253</v>
      </c>
      <c r="B34" s="119">
        <f>AVERAGE(B3:B33)</f>
        <v>2.779130434782609</v>
      </c>
      <c r="C34" s="120" t="s">
        <v>1253</v>
      </c>
      <c r="D34" s="119">
        <f>AVERAGE(D3:D33)</f>
        <v>2.944761904761904</v>
      </c>
      <c r="E34" s="120" t="s">
        <v>1253</v>
      </c>
      <c r="F34" s="121">
        <f>AVERAGE(F3:F32)</f>
        <v>2.9386363636363644</v>
      </c>
      <c r="G34" s="120" t="s">
        <v>1253</v>
      </c>
      <c r="H34" s="119">
        <f>AVERAGE(H3:H33)</f>
        <v>2.874545454545454</v>
      </c>
      <c r="I34" s="120" t="s">
        <v>1253</v>
      </c>
      <c r="J34" s="119">
        <f>AVERAGE(J3:J33)</f>
        <v>2.8935</v>
      </c>
    </row>
    <row r="39" spans="1:5" ht="15">
      <c r="A39" t="s">
        <v>1254</v>
      </c>
      <c r="B39" s="95" t="s">
        <v>1274</v>
      </c>
      <c r="C39" s="95" t="s">
        <v>1273</v>
      </c>
      <c r="D39" s="95" t="s">
        <v>1272</v>
      </c>
      <c r="E39" s="95" t="s">
        <v>1275</v>
      </c>
    </row>
    <row r="40" spans="1:5" ht="15">
      <c r="A40" s="92">
        <f>B34</f>
        <v>2.779130434782609</v>
      </c>
      <c r="B40" s="92">
        <f>D34</f>
        <v>2.944761904761904</v>
      </c>
      <c r="C40" s="92">
        <f>F34</f>
        <v>2.9386363636363644</v>
      </c>
      <c r="D40" s="92">
        <f>H34</f>
        <v>2.874545454545454</v>
      </c>
      <c r="E40" s="124">
        <f>J34</f>
        <v>2.8935</v>
      </c>
    </row>
    <row r="41" spans="1:5" ht="15">
      <c r="A41"/>
      <c r="B41" s="122">
        <f>B40/A40</f>
        <v>1.0595983074080693</v>
      </c>
      <c r="C41" s="122">
        <f>C40/A40</f>
        <v>1.057394185914211</v>
      </c>
      <c r="D41">
        <f>D40/A40</f>
        <v>1.0343326885880075</v>
      </c>
      <c r="E41" s="95">
        <f>E40/A40</f>
        <v>1.0411530037546932</v>
      </c>
    </row>
    <row r="42" spans="4:5" ht="15">
      <c r="D42">
        <v>1.0343326885880075</v>
      </c>
      <c r="E42" s="95">
        <v>1.0411530037546932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W34"/>
  <sheetViews>
    <sheetView showGridLines="0" showZeros="0" showOutlineSymbols="0" zoomScale="65" zoomScaleNormal="65" zoomScalePageLayoutView="0" workbookViewId="0" topLeftCell="A2">
      <selection activeCell="I24" sqref="I24"/>
    </sheetView>
  </sheetViews>
  <sheetFormatPr defaultColWidth="6.59765625" defaultRowHeight="12.75" customHeight="1"/>
  <cols>
    <col min="1" max="1" width="6.09765625" style="16" customWidth="1"/>
    <col min="2" max="2" width="21.3984375" style="16" customWidth="1"/>
    <col min="3" max="3" width="9.19921875" style="16" customWidth="1"/>
    <col min="4" max="4" width="8.59765625" style="16" customWidth="1"/>
    <col min="5" max="5" width="7.296875" style="16" customWidth="1"/>
    <col min="6" max="6" width="11.19921875" style="16" bestFit="1" customWidth="1"/>
    <col min="7" max="7" width="6.3984375" style="16" customWidth="1"/>
    <col min="8" max="8" width="11.19921875" style="16" bestFit="1" customWidth="1"/>
    <col min="9" max="9" width="5.3984375" style="16" customWidth="1"/>
    <col min="10" max="10" width="7" style="16" bestFit="1" customWidth="1"/>
    <col min="11" max="11" width="10.59765625" style="16" bestFit="1" customWidth="1"/>
    <col min="12" max="12" width="6.59765625" style="16" customWidth="1"/>
    <col min="13" max="13" width="7.3984375" style="16" customWidth="1"/>
    <col min="14" max="16" width="6.59765625" style="16" customWidth="1"/>
    <col min="17" max="17" width="7.8984375" style="16" customWidth="1"/>
    <col min="18" max="21" width="6.59765625" style="16" customWidth="1"/>
    <col min="22" max="22" width="29.296875" style="16" hidden="1" customWidth="1"/>
    <col min="23" max="23" width="6.59765625" style="16" hidden="1" customWidth="1"/>
    <col min="24" max="16384" width="6.59765625" style="16" customWidth="1"/>
  </cols>
  <sheetData>
    <row r="1" spans="1:17" ht="20.25" customHeight="1" hidden="1">
      <c r="A1" s="418" t="s">
        <v>343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17" ht="21.75" customHeight="1">
      <c r="A2" s="430" t="s">
        <v>125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</row>
    <row r="3" spans="2:17" ht="17.25" customHeight="1" thickBot="1">
      <c r="B3" s="17"/>
      <c r="C3" s="17"/>
      <c r="D3" s="17"/>
      <c r="E3" s="17"/>
      <c r="F3" s="17"/>
      <c r="G3" s="17"/>
      <c r="H3" s="17"/>
      <c r="I3" s="17"/>
      <c r="J3" s="17"/>
      <c r="K3" s="18"/>
      <c r="P3" s="30" t="s">
        <v>275</v>
      </c>
      <c r="Q3" s="16" t="str">
        <f>Fecha</f>
        <v>abr-2014</v>
      </c>
    </row>
    <row r="4" spans="1:22" ht="12.75" customHeight="1" thickBot="1">
      <c r="A4" s="427" t="s">
        <v>143</v>
      </c>
      <c r="B4" s="421" t="s">
        <v>126</v>
      </c>
      <c r="C4" s="421" t="s">
        <v>127</v>
      </c>
      <c r="D4" s="421" t="s">
        <v>128</v>
      </c>
      <c r="E4" s="421" t="s">
        <v>129</v>
      </c>
      <c r="F4" s="421" t="s">
        <v>130</v>
      </c>
      <c r="G4" s="421" t="s">
        <v>131</v>
      </c>
      <c r="H4" s="433" t="s">
        <v>132</v>
      </c>
      <c r="I4" s="434"/>
      <c r="J4" s="433" t="s">
        <v>133</v>
      </c>
      <c r="K4" s="434"/>
      <c r="L4" s="435" t="s">
        <v>134</v>
      </c>
      <c r="M4" s="436"/>
      <c r="N4" s="436"/>
      <c r="O4" s="436"/>
      <c r="P4" s="437"/>
      <c r="Q4" s="431" t="s">
        <v>135</v>
      </c>
      <c r="V4" s="21" t="s">
        <v>243</v>
      </c>
    </row>
    <row r="5" spans="1:23" ht="29.25" customHeight="1">
      <c r="A5" s="428"/>
      <c r="B5" s="425"/>
      <c r="C5" s="422"/>
      <c r="D5" s="422"/>
      <c r="E5" s="422"/>
      <c r="F5" s="422"/>
      <c r="G5" s="422"/>
      <c r="H5" s="37" t="s">
        <v>171</v>
      </c>
      <c r="I5" s="37" t="s">
        <v>136</v>
      </c>
      <c r="J5" s="37" t="s">
        <v>172</v>
      </c>
      <c r="K5" s="37" t="s">
        <v>137</v>
      </c>
      <c r="L5" s="37" t="s">
        <v>138</v>
      </c>
      <c r="M5" s="38" t="s">
        <v>139</v>
      </c>
      <c r="N5" s="38" t="s">
        <v>140</v>
      </c>
      <c r="O5" s="38" t="s">
        <v>141</v>
      </c>
      <c r="P5" s="38" t="s">
        <v>142</v>
      </c>
      <c r="Q5" s="432"/>
      <c r="V5" s="423" t="s">
        <v>244</v>
      </c>
      <c r="W5" s="22" t="s">
        <v>128</v>
      </c>
    </row>
    <row r="6" spans="1:23" ht="15" customHeight="1" thickBot="1">
      <c r="A6" s="429"/>
      <c r="B6" s="426"/>
      <c r="C6" s="39" t="s">
        <v>5</v>
      </c>
      <c r="D6" s="39" t="s">
        <v>173</v>
      </c>
      <c r="E6" s="39" t="s">
        <v>174</v>
      </c>
      <c r="F6" s="39" t="s">
        <v>5</v>
      </c>
      <c r="G6" s="39" t="s">
        <v>1914</v>
      </c>
      <c r="H6" s="39" t="s">
        <v>1924</v>
      </c>
      <c r="I6" s="39" t="s">
        <v>1924</v>
      </c>
      <c r="J6" s="39" t="s">
        <v>175</v>
      </c>
      <c r="K6" s="39" t="s">
        <v>175</v>
      </c>
      <c r="L6" s="39" t="s">
        <v>175</v>
      </c>
      <c r="M6" s="39" t="s">
        <v>175</v>
      </c>
      <c r="N6" s="39" t="s">
        <v>175</v>
      </c>
      <c r="O6" s="39" t="s">
        <v>175</v>
      </c>
      <c r="P6" s="39" t="s">
        <v>175</v>
      </c>
      <c r="Q6" s="40" t="s">
        <v>175</v>
      </c>
      <c r="V6" s="424"/>
      <c r="W6" s="23" t="s">
        <v>1924</v>
      </c>
    </row>
    <row r="7" spans="1:23" ht="15.75" customHeight="1" thickBot="1" thickTop="1">
      <c r="A7" s="153" t="s">
        <v>1919</v>
      </c>
      <c r="B7" s="154" t="s">
        <v>1539</v>
      </c>
      <c r="C7" s="154">
        <f>VLOOKUP(A7,'IN-04-14'!A6:D880,4,FALSE)</f>
        <v>1055405.3754</v>
      </c>
      <c r="D7" s="155">
        <v>10000</v>
      </c>
      <c r="E7" s="156">
        <v>87</v>
      </c>
      <c r="F7" s="156">
        <f>VLOOKUP(A30,'IN-04-14'!A112:D112,4)</f>
        <v>8.3</v>
      </c>
      <c r="G7" s="157">
        <v>0.122</v>
      </c>
      <c r="H7" s="158">
        <f>VLOOKUP(A21,A21:D28,4,FALSE)</f>
        <v>50.45</v>
      </c>
      <c r="I7" s="158">
        <f>VLOOKUP(A24,A21:D28,4)</f>
        <v>36.36</v>
      </c>
      <c r="J7" s="159">
        <f>(C7*0.5)/D7</f>
        <v>52.77026877</v>
      </c>
      <c r="K7" s="160">
        <f>C7*G7*(((D7/2000)+1)/(2*D7/2000))/2000</f>
        <v>38.627836739639996</v>
      </c>
      <c r="L7" s="160">
        <f>ROUND(0.02*C7,2)/2000</f>
        <v>10.554055</v>
      </c>
      <c r="M7" s="161">
        <f>+E7*F7*0.15</f>
        <v>108.315</v>
      </c>
      <c r="N7" s="161">
        <f>0.3*M7</f>
        <v>32.494499999999995</v>
      </c>
      <c r="O7" s="161">
        <f>0.6*J7</f>
        <v>31.662161261999998</v>
      </c>
      <c r="P7" s="161">
        <f>H7+I7</f>
        <v>86.81</v>
      </c>
      <c r="Q7" s="162">
        <f>SUM(J7:P7)</f>
        <v>361.23382177164</v>
      </c>
      <c r="R7" s="151">
        <v>68.951788878</v>
      </c>
      <c r="V7" s="24" t="s">
        <v>245</v>
      </c>
      <c r="W7" s="27">
        <v>10000</v>
      </c>
    </row>
    <row r="8" spans="1:23" ht="15.75" customHeight="1" thickBot="1" thickTop="1">
      <c r="A8" s="163" t="s">
        <v>2013</v>
      </c>
      <c r="B8" s="164" t="s">
        <v>1540</v>
      </c>
      <c r="C8" s="154">
        <f>VLOOKUP(A8,'IN-04-14'!A7:D881,4,FALSE)</f>
        <v>1610133.1909</v>
      </c>
      <c r="D8" s="165">
        <v>10000</v>
      </c>
      <c r="E8" s="166">
        <v>180</v>
      </c>
      <c r="F8" s="156">
        <f>VLOOKUP(A30,'IN-04-14'!A112:D112,4)</f>
        <v>8.3</v>
      </c>
      <c r="G8" s="167">
        <v>0.122</v>
      </c>
      <c r="H8" s="158">
        <f>VLOOKUP(A21,A21:D28,4,FALSE)</f>
        <v>50.45</v>
      </c>
      <c r="I8" s="158">
        <f>VLOOKUP(A24,A21:D28,4)</f>
        <v>36.36</v>
      </c>
      <c r="J8" s="159">
        <f aca="true" t="shared" si="0" ref="J8:J18">(C8*0.5)/D8</f>
        <v>80.506659545</v>
      </c>
      <c r="K8" s="160">
        <f aca="true" t="shared" si="1" ref="K8:K18">C8*G8*(((D8/2000)+1)/(2*D8/2000))/2000</f>
        <v>58.93087478694</v>
      </c>
      <c r="L8" s="160">
        <f aca="true" t="shared" si="2" ref="L8:L18">ROUND(0.02*C8,2)/2000</f>
        <v>16.10133</v>
      </c>
      <c r="M8" s="161">
        <f aca="true" t="shared" si="3" ref="M8:M18">+E8*F8*0.15</f>
        <v>224.10000000000002</v>
      </c>
      <c r="N8" s="161">
        <f aca="true" t="shared" si="4" ref="N8:N18">0.3*M8</f>
        <v>67.23</v>
      </c>
      <c r="O8" s="161">
        <f aca="true" t="shared" si="5" ref="O8:O18">0.6*J8</f>
        <v>48.303995727</v>
      </c>
      <c r="P8" s="161">
        <f aca="true" t="shared" si="6" ref="P8:P18">H8+I8</f>
        <v>86.81</v>
      </c>
      <c r="Q8" s="162">
        <f aca="true" t="shared" si="7" ref="Q8:Q18">SUM(J8:P8)</f>
        <v>581.9828600589401</v>
      </c>
      <c r="R8" s="151">
        <v>65.07452022860001</v>
      </c>
      <c r="V8" s="25" t="s">
        <v>246</v>
      </c>
      <c r="W8" s="28">
        <v>12000</v>
      </c>
    </row>
    <row r="9" spans="1:23" ht="15.75" customHeight="1" thickBot="1" thickTop="1">
      <c r="A9" s="163" t="s">
        <v>1837</v>
      </c>
      <c r="B9" s="164" t="s">
        <v>1541</v>
      </c>
      <c r="C9" s="154">
        <f>VLOOKUP(A9,'IN-04-14'!A8:D882,4,FALSE)</f>
        <v>1159176.63</v>
      </c>
      <c r="D9" s="165">
        <v>10000</v>
      </c>
      <c r="E9" s="166">
        <v>140</v>
      </c>
      <c r="F9" s="156">
        <f>VLOOKUP(A30,'IN-04-14'!A112:D112,4)</f>
        <v>8.3</v>
      </c>
      <c r="G9" s="167">
        <v>0.122</v>
      </c>
      <c r="H9" s="158">
        <f>VLOOKUP(A21,A21:D28,4,FALSE)</f>
        <v>50.45</v>
      </c>
      <c r="I9" s="158">
        <f>VLOOKUP(A24,A21:D28,4)</f>
        <v>36.36</v>
      </c>
      <c r="J9" s="159">
        <f t="shared" si="0"/>
        <v>57.958831499999995</v>
      </c>
      <c r="K9" s="160">
        <f t="shared" si="1"/>
        <v>42.425864657999995</v>
      </c>
      <c r="L9" s="160">
        <f t="shared" si="2"/>
        <v>11.591764999999999</v>
      </c>
      <c r="M9" s="161">
        <f t="shared" si="3"/>
        <v>174.29999999999998</v>
      </c>
      <c r="N9" s="161">
        <f t="shared" si="4"/>
        <v>52.28999999999999</v>
      </c>
      <c r="O9" s="161">
        <f t="shared" si="5"/>
        <v>34.775298899999996</v>
      </c>
      <c r="P9" s="161">
        <f t="shared" si="6"/>
        <v>86.81</v>
      </c>
      <c r="Q9" s="162">
        <f t="shared" si="7"/>
        <v>460.1517600579999</v>
      </c>
      <c r="R9" s="151">
        <v>110.6742862822</v>
      </c>
      <c r="V9" s="25" t="s">
        <v>247</v>
      </c>
      <c r="W9" s="28">
        <v>16000</v>
      </c>
    </row>
    <row r="10" spans="1:23" ht="15.75" customHeight="1" thickBot="1" thickTop="1">
      <c r="A10" s="163" t="s">
        <v>2016</v>
      </c>
      <c r="B10" s="164" t="s">
        <v>1542</v>
      </c>
      <c r="C10" s="154">
        <f>VLOOKUP(A10,'IN-04-14'!A9:D883,4,FALSE)</f>
        <v>1464181.429</v>
      </c>
      <c r="D10" s="165">
        <v>10000</v>
      </c>
      <c r="E10" s="166">
        <v>140</v>
      </c>
      <c r="F10" s="156">
        <f>VLOOKUP(A30,'IN-04-14'!A112:D112,4)</f>
        <v>8.3</v>
      </c>
      <c r="G10" s="167">
        <v>0.122</v>
      </c>
      <c r="H10" s="158">
        <f>VLOOKUP(A21,A21:D28,4,FALSE)</f>
        <v>50.45</v>
      </c>
      <c r="I10" s="168"/>
      <c r="J10" s="159">
        <f t="shared" si="0"/>
        <v>73.20907145</v>
      </c>
      <c r="K10" s="160">
        <f t="shared" si="1"/>
        <v>53.5890403014</v>
      </c>
      <c r="L10" s="160">
        <f t="shared" si="2"/>
        <v>14.641815000000001</v>
      </c>
      <c r="M10" s="161">
        <f t="shared" si="3"/>
        <v>174.29999999999998</v>
      </c>
      <c r="N10" s="161">
        <f t="shared" si="4"/>
        <v>52.28999999999999</v>
      </c>
      <c r="O10" s="161">
        <f t="shared" si="5"/>
        <v>43.92544287</v>
      </c>
      <c r="P10" s="161">
        <f t="shared" si="6"/>
        <v>50.45</v>
      </c>
      <c r="Q10" s="162">
        <f t="shared" si="7"/>
        <v>462.4053696214</v>
      </c>
      <c r="R10" s="151">
        <v>96.26395374420001</v>
      </c>
      <c r="V10" s="25" t="s">
        <v>248</v>
      </c>
      <c r="W10" s="28">
        <v>10000</v>
      </c>
    </row>
    <row r="11" spans="1:23" ht="15.75" customHeight="1" thickBot="1" thickTop="1">
      <c r="A11" s="163" t="s">
        <v>2017</v>
      </c>
      <c r="B11" s="164" t="s">
        <v>1543</v>
      </c>
      <c r="C11" s="154">
        <f>VLOOKUP(A11,'IN-04-14'!A10:D884,4,FALSE)</f>
        <v>886444.17</v>
      </c>
      <c r="D11" s="165">
        <v>10000</v>
      </c>
      <c r="E11" s="166">
        <v>70</v>
      </c>
      <c r="F11" s="156">
        <f>VLOOKUP(A30,'IN-04-14'!A112:D112,4)</f>
        <v>8.3</v>
      </c>
      <c r="G11" s="167">
        <v>0.122</v>
      </c>
      <c r="H11" s="158">
        <f>VLOOKUP(A21,A21:D28,4,FALSE)</f>
        <v>50.45</v>
      </c>
      <c r="I11" s="168"/>
      <c r="J11" s="159">
        <f t="shared" si="0"/>
        <v>44.3222085</v>
      </c>
      <c r="K11" s="160">
        <f t="shared" si="1"/>
        <v>32.443856622</v>
      </c>
      <c r="L11" s="160">
        <f t="shared" si="2"/>
        <v>8.86444</v>
      </c>
      <c r="M11" s="161">
        <f t="shared" si="3"/>
        <v>87.14999999999999</v>
      </c>
      <c r="N11" s="161">
        <f t="shared" si="4"/>
        <v>26.144999999999996</v>
      </c>
      <c r="O11" s="161">
        <f t="shared" si="5"/>
        <v>26.5933251</v>
      </c>
      <c r="P11" s="161">
        <f t="shared" si="6"/>
        <v>50.45</v>
      </c>
      <c r="Q11" s="162">
        <f t="shared" si="7"/>
        <v>275.968830222</v>
      </c>
      <c r="R11" s="151">
        <v>58.24635</v>
      </c>
      <c r="V11" s="25" t="s">
        <v>249</v>
      </c>
      <c r="W11" s="28">
        <v>12000</v>
      </c>
    </row>
    <row r="12" spans="1:23" ht="15.75" customHeight="1" thickBot="1" thickTop="1">
      <c r="A12" s="163" t="s">
        <v>2020</v>
      </c>
      <c r="B12" s="164" t="s">
        <v>1544</v>
      </c>
      <c r="C12" s="154">
        <f>VLOOKUP(A12,'IN-04-14'!A11:D885,4,FALSE)</f>
        <v>1190048.37</v>
      </c>
      <c r="D12" s="165">
        <v>10000</v>
      </c>
      <c r="E12" s="166">
        <v>120</v>
      </c>
      <c r="F12" s="156">
        <f>VLOOKUP(A30,'IN-04-14'!A112:D112,4)</f>
        <v>8.3</v>
      </c>
      <c r="G12" s="167">
        <v>0.122</v>
      </c>
      <c r="H12" s="158">
        <f>VLOOKUP(A21,A21:D28,4,FALSE)</f>
        <v>50.45</v>
      </c>
      <c r="I12" s="168"/>
      <c r="J12" s="159">
        <f t="shared" si="0"/>
        <v>59.502418500000005</v>
      </c>
      <c r="K12" s="160">
        <f t="shared" si="1"/>
        <v>43.555770341999995</v>
      </c>
      <c r="L12" s="160">
        <f t="shared" si="2"/>
        <v>11.900485</v>
      </c>
      <c r="M12" s="161">
        <f t="shared" si="3"/>
        <v>149.4</v>
      </c>
      <c r="N12" s="161">
        <f t="shared" si="4"/>
        <v>44.82</v>
      </c>
      <c r="O12" s="161">
        <f t="shared" si="5"/>
        <v>35.7014511</v>
      </c>
      <c r="P12" s="161">
        <f t="shared" si="6"/>
        <v>50.45</v>
      </c>
      <c r="Q12" s="162">
        <f t="shared" si="7"/>
        <v>395.330124942</v>
      </c>
      <c r="R12" s="151">
        <v>90.90381</v>
      </c>
      <c r="V12" s="25" t="s">
        <v>250</v>
      </c>
      <c r="W12" s="28">
        <v>12000</v>
      </c>
    </row>
    <row r="13" spans="1:23" ht="15.75" customHeight="1" thickBot="1" thickTop="1">
      <c r="A13" s="163" t="s">
        <v>2022</v>
      </c>
      <c r="B13" s="164" t="s">
        <v>1545</v>
      </c>
      <c r="C13" s="154">
        <f>VLOOKUP(A13,'IN-04-14'!A12:D886,4,FALSE)</f>
        <v>1666568.69</v>
      </c>
      <c r="D13" s="165">
        <v>10000</v>
      </c>
      <c r="E13" s="166">
        <v>240</v>
      </c>
      <c r="F13" s="156">
        <f>VLOOKUP(A30,'IN-04-14'!A112:D112,4)</f>
        <v>8.3</v>
      </c>
      <c r="G13" s="167">
        <v>0.122</v>
      </c>
      <c r="H13" s="158">
        <f>VLOOKUP(A21,A21:D285,4,FALSE)</f>
        <v>50.45</v>
      </c>
      <c r="I13" s="158">
        <f>VLOOKUP(A24,A21:D28,4)</f>
        <v>36.36</v>
      </c>
      <c r="J13" s="159">
        <f t="shared" si="0"/>
        <v>83.3284345</v>
      </c>
      <c r="K13" s="160">
        <f t="shared" si="1"/>
        <v>60.99641405399999</v>
      </c>
      <c r="L13" s="160">
        <f t="shared" si="2"/>
        <v>16.665685</v>
      </c>
      <c r="M13" s="161">
        <f t="shared" si="3"/>
        <v>298.8</v>
      </c>
      <c r="N13" s="161">
        <f t="shared" si="4"/>
        <v>89.64</v>
      </c>
      <c r="O13" s="161">
        <f t="shared" si="5"/>
        <v>49.9970607</v>
      </c>
      <c r="P13" s="161">
        <f t="shared" si="6"/>
        <v>86.81</v>
      </c>
      <c r="Q13" s="162">
        <f t="shared" si="7"/>
        <v>686.237594254</v>
      </c>
      <c r="R13" s="151">
        <v>106.4514</v>
      </c>
      <c r="V13" s="25" t="s">
        <v>251</v>
      </c>
      <c r="W13" s="28">
        <v>16000</v>
      </c>
    </row>
    <row r="14" spans="1:23" ht="15.75" customHeight="1" thickBot="1" thickTop="1">
      <c r="A14" s="163" t="s">
        <v>4</v>
      </c>
      <c r="B14" s="164" t="s">
        <v>1546</v>
      </c>
      <c r="C14" s="154">
        <f>VLOOKUP(A14,'IN-04-14'!A13:D887,4,FALSE)</f>
        <v>2309826.3032</v>
      </c>
      <c r="D14" s="165">
        <v>10000</v>
      </c>
      <c r="E14" s="166">
        <v>200</v>
      </c>
      <c r="F14" s="156">
        <f>VLOOKUP(A30,'IN-04-14'!A112:D112,4)</f>
        <v>8.3</v>
      </c>
      <c r="G14" s="167">
        <v>0.122</v>
      </c>
      <c r="H14" s="158">
        <f>VLOOKUP(A21,A21:D28,4,FALSE)</f>
        <v>50.45</v>
      </c>
      <c r="I14" s="168"/>
      <c r="J14" s="159">
        <f t="shared" si="0"/>
        <v>115.49131516</v>
      </c>
      <c r="K14" s="160">
        <f t="shared" si="1"/>
        <v>84.53964269712</v>
      </c>
      <c r="L14" s="160">
        <f t="shared" si="2"/>
        <v>23.098264999999998</v>
      </c>
      <c r="M14" s="161">
        <f t="shared" si="3"/>
        <v>249.00000000000003</v>
      </c>
      <c r="N14" s="161">
        <f t="shared" si="4"/>
        <v>74.7</v>
      </c>
      <c r="O14" s="161">
        <f t="shared" si="5"/>
        <v>69.294789096</v>
      </c>
      <c r="P14" s="161">
        <f t="shared" si="6"/>
        <v>50.45</v>
      </c>
      <c r="Q14" s="162">
        <f t="shared" si="7"/>
        <v>666.5740119531201</v>
      </c>
      <c r="R14" s="151">
        <v>41.7111</v>
      </c>
      <c r="V14" s="25" t="s">
        <v>252</v>
      </c>
      <c r="W14" s="28">
        <v>14000</v>
      </c>
    </row>
    <row r="15" spans="1:23" ht="15.75" customHeight="1" thickBot="1" thickTop="1">
      <c r="A15" s="163" t="s">
        <v>368</v>
      </c>
      <c r="B15" s="164" t="s">
        <v>369</v>
      </c>
      <c r="C15" s="154">
        <f>VLOOKUP(A15,'IN-04-14'!A14:D888,4,FALSE)</f>
        <v>216502.3636</v>
      </c>
      <c r="D15" s="165">
        <v>10000</v>
      </c>
      <c r="E15" s="166">
        <v>200</v>
      </c>
      <c r="F15" s="156">
        <f>VLOOKUP(A30,'IN-04-14'!A112:D112,4)</f>
        <v>8.3</v>
      </c>
      <c r="G15" s="167">
        <v>0.122</v>
      </c>
      <c r="H15" s="158">
        <f>VLOOKUP(A21,A21:D28,4,FALSE)</f>
        <v>50.45</v>
      </c>
      <c r="I15" s="168"/>
      <c r="J15" s="159">
        <f t="shared" si="0"/>
        <v>10.82511818</v>
      </c>
      <c r="K15" s="160">
        <f t="shared" si="1"/>
        <v>7.92398650776</v>
      </c>
      <c r="L15" s="160">
        <f t="shared" si="2"/>
        <v>2.165025</v>
      </c>
      <c r="M15" s="161">
        <f t="shared" si="3"/>
        <v>249.00000000000003</v>
      </c>
      <c r="N15" s="161">
        <f t="shared" si="4"/>
        <v>74.7</v>
      </c>
      <c r="O15" s="161">
        <f t="shared" si="5"/>
        <v>6.495070908</v>
      </c>
      <c r="P15" s="161">
        <f t="shared" si="6"/>
        <v>50.45</v>
      </c>
      <c r="Q15" s="162">
        <f t="shared" si="7"/>
        <v>401.55920059576</v>
      </c>
      <c r="R15" s="151">
        <v>145.223124</v>
      </c>
      <c r="V15" s="25" t="s">
        <v>253</v>
      </c>
      <c r="W15" s="28">
        <v>16000</v>
      </c>
    </row>
    <row r="16" spans="1:23" ht="15.75" customHeight="1" thickBot="1" thickTop="1">
      <c r="A16" s="163" t="s">
        <v>1078</v>
      </c>
      <c r="B16" s="164" t="s">
        <v>1547</v>
      </c>
      <c r="C16" s="154">
        <f>VLOOKUP(A16,'IN-04-14'!A15:D889,4,FALSE)</f>
        <v>1486300.2</v>
      </c>
      <c r="D16" s="165">
        <v>10000</v>
      </c>
      <c r="E16" s="166">
        <v>90</v>
      </c>
      <c r="F16" s="156">
        <f>VLOOKUP(A30,'IN-04-14'!A112:D112,4)</f>
        <v>8.3</v>
      </c>
      <c r="G16" s="167">
        <v>0.122</v>
      </c>
      <c r="H16" s="158">
        <f>VLOOKUP(A21,A21:D28,4,FALSE)</f>
        <v>50.45</v>
      </c>
      <c r="I16" s="158">
        <f>VLOOKUP(A24,A21:D28,4)</f>
        <v>36.36</v>
      </c>
      <c r="J16" s="159">
        <f t="shared" si="0"/>
        <v>74.31501</v>
      </c>
      <c r="K16" s="160">
        <f t="shared" si="1"/>
        <v>54.39858732</v>
      </c>
      <c r="L16" s="160">
        <f t="shared" si="2"/>
        <v>14.863</v>
      </c>
      <c r="M16" s="161">
        <f t="shared" si="3"/>
        <v>112.05000000000001</v>
      </c>
      <c r="N16" s="161">
        <f t="shared" si="4"/>
        <v>33.615</v>
      </c>
      <c r="O16" s="161">
        <f t="shared" si="5"/>
        <v>44.589006</v>
      </c>
      <c r="P16" s="161">
        <f t="shared" si="6"/>
        <v>86.81</v>
      </c>
      <c r="Q16" s="162">
        <f t="shared" si="7"/>
        <v>420.64060331999997</v>
      </c>
      <c r="R16" s="151">
        <v>57.584274</v>
      </c>
      <c r="V16" s="25" t="s">
        <v>254</v>
      </c>
      <c r="W16" s="28">
        <v>16000</v>
      </c>
    </row>
    <row r="17" spans="1:23" ht="15.75" customHeight="1" thickBot="1" thickTop="1">
      <c r="A17" s="189" t="s">
        <v>2025</v>
      </c>
      <c r="B17" s="190" t="s">
        <v>1548</v>
      </c>
      <c r="C17" s="154">
        <f>VLOOKUP(A17,'IN-04-14'!A16:D890,4,FALSE)</f>
        <v>678862.81</v>
      </c>
      <c r="D17" s="191">
        <v>10000</v>
      </c>
      <c r="E17" s="192">
        <v>60</v>
      </c>
      <c r="F17" s="156">
        <f>VLOOKUP(A30,'IN-04-14'!A112:D112,4)</f>
        <v>8.3</v>
      </c>
      <c r="G17" s="193">
        <v>0.122</v>
      </c>
      <c r="H17" s="158">
        <f>VLOOKUP(A21,A21:D28,4,FALSE)</f>
        <v>50.45</v>
      </c>
      <c r="I17" s="194"/>
      <c r="J17" s="159">
        <f t="shared" si="0"/>
        <v>33.943140500000005</v>
      </c>
      <c r="K17" s="160">
        <f t="shared" si="1"/>
        <v>24.846378846</v>
      </c>
      <c r="L17" s="160">
        <f t="shared" si="2"/>
        <v>6.78863</v>
      </c>
      <c r="M17" s="161">
        <f t="shared" si="3"/>
        <v>74.7</v>
      </c>
      <c r="N17" s="161">
        <f t="shared" si="4"/>
        <v>22.41</v>
      </c>
      <c r="O17" s="161">
        <f t="shared" si="5"/>
        <v>20.3658843</v>
      </c>
      <c r="P17" s="161">
        <f t="shared" si="6"/>
        <v>50.45</v>
      </c>
      <c r="Q17" s="162">
        <f t="shared" si="7"/>
        <v>233.50403364600004</v>
      </c>
      <c r="R17" s="152"/>
      <c r="V17" s="25" t="s">
        <v>255</v>
      </c>
      <c r="W17" s="28">
        <v>10000</v>
      </c>
    </row>
    <row r="18" spans="1:23" ht="15.75" customHeight="1" thickTop="1">
      <c r="A18" s="195" t="s">
        <v>1484</v>
      </c>
      <c r="B18" s="195" t="s">
        <v>115</v>
      </c>
      <c r="C18" s="154">
        <f>VLOOKUP(A18,'IN-04-14'!A17:D891,4,FALSE)</f>
        <v>4978820</v>
      </c>
      <c r="D18" s="202">
        <v>10000</v>
      </c>
      <c r="E18" s="195">
        <v>240</v>
      </c>
      <c r="F18" s="156">
        <f>VLOOKUP(A30,'IN-04-14'!A112:D112,4)</f>
        <v>8.3</v>
      </c>
      <c r="G18" s="203">
        <v>0.122</v>
      </c>
      <c r="H18" s="158">
        <f>VLOOKUP(A21,A21:D28,4,FALSE)</f>
        <v>50.45</v>
      </c>
      <c r="I18" s="196"/>
      <c r="J18" s="159">
        <f t="shared" si="0"/>
        <v>248.941</v>
      </c>
      <c r="K18" s="160">
        <f t="shared" si="1"/>
        <v>182.22481200000001</v>
      </c>
      <c r="L18" s="160">
        <f t="shared" si="2"/>
        <v>49.788199999999996</v>
      </c>
      <c r="M18" s="161">
        <f t="shared" si="3"/>
        <v>298.8</v>
      </c>
      <c r="N18" s="161">
        <f t="shared" si="4"/>
        <v>89.64</v>
      </c>
      <c r="O18" s="161">
        <f t="shared" si="5"/>
        <v>149.3646</v>
      </c>
      <c r="P18" s="161">
        <f t="shared" si="6"/>
        <v>50.45</v>
      </c>
      <c r="Q18" s="162">
        <f t="shared" si="7"/>
        <v>1069.2086120000001</v>
      </c>
      <c r="V18" s="25" t="s">
        <v>256</v>
      </c>
      <c r="W18" s="28">
        <v>8000</v>
      </c>
    </row>
    <row r="19" spans="3:23" ht="15.75" customHeight="1">
      <c r="C19" s="230" t="s">
        <v>527</v>
      </c>
      <c r="D19" s="229"/>
      <c r="E19" s="229"/>
      <c r="F19" s="229"/>
      <c r="G19" s="229"/>
      <c r="H19" s="230"/>
      <c r="I19" s="231"/>
      <c r="J19" s="229"/>
      <c r="K19" s="229"/>
      <c r="L19" s="229"/>
      <c r="M19" s="229"/>
      <c r="N19" s="229"/>
      <c r="O19" s="229"/>
      <c r="P19" s="229"/>
      <c r="Q19" s="229"/>
      <c r="V19" s="25" t="s">
        <v>257</v>
      </c>
      <c r="W19" s="28">
        <v>20000</v>
      </c>
    </row>
    <row r="20" spans="22:23" ht="15.75" customHeight="1">
      <c r="V20" s="25" t="s">
        <v>258</v>
      </c>
      <c r="W20" s="28">
        <v>20000</v>
      </c>
    </row>
    <row r="21" spans="1:23" ht="15.75" customHeight="1">
      <c r="A21" s="133" t="s">
        <v>1922</v>
      </c>
      <c r="B21" s="128" t="s">
        <v>1923</v>
      </c>
      <c r="C21" s="127" t="s">
        <v>1924</v>
      </c>
      <c r="D21" s="143">
        <f>LOOKUP(A21,'[2]PT OCT 2011'!$A$2:$A$730,'[2]PT OCT 2011'!$D$2:$D$730)</f>
        <v>50.45</v>
      </c>
      <c r="V21" s="25" t="s">
        <v>259</v>
      </c>
      <c r="W21" s="28">
        <v>14000</v>
      </c>
    </row>
    <row r="22" spans="1:23" ht="15.75" customHeight="1">
      <c r="A22" s="133" t="s">
        <v>1925</v>
      </c>
      <c r="B22" s="128" t="s">
        <v>1926</v>
      </c>
      <c r="C22" s="127" t="s">
        <v>1924</v>
      </c>
      <c r="D22" s="143">
        <f>LOOKUP(A22,'[2]PT OCT 2011'!$A$2:$A$730,'[2]PT OCT 2011'!$D$2:$D$730)</f>
        <v>42.96</v>
      </c>
      <c r="V22" s="25" t="s">
        <v>260</v>
      </c>
      <c r="W22" s="28">
        <v>16000</v>
      </c>
    </row>
    <row r="23" spans="1:23" ht="15.75" customHeight="1">
      <c r="A23" s="133" t="s">
        <v>1927</v>
      </c>
      <c r="B23" s="128" t="s">
        <v>1928</v>
      </c>
      <c r="C23" s="127" t="s">
        <v>1924</v>
      </c>
      <c r="D23" s="143">
        <f>LOOKUP(A23,'[2]PT OCT 2011'!$A$2:$A$730,'[2]PT OCT 2011'!$D$2:$D$730)</f>
        <v>39.6</v>
      </c>
      <c r="V23" s="25" t="s">
        <v>261</v>
      </c>
      <c r="W23" s="28">
        <v>14000</v>
      </c>
    </row>
    <row r="24" spans="1:23" ht="15.75" customHeight="1">
      <c r="A24" s="133" t="s">
        <v>1929</v>
      </c>
      <c r="B24" s="128" t="s">
        <v>1930</v>
      </c>
      <c r="C24" s="127" t="s">
        <v>1924</v>
      </c>
      <c r="D24" s="143">
        <f>LOOKUP(A24,'[2]PT OCT 2011'!$A$2:$A$730,'[2]PT OCT 2011'!$D$2:$D$730)</f>
        <v>36.36</v>
      </c>
      <c r="V24" s="25" t="s">
        <v>262</v>
      </c>
      <c r="W24" s="28">
        <v>10000</v>
      </c>
    </row>
    <row r="25" spans="1:23" ht="15.75" customHeight="1">
      <c r="A25" s="133" t="s">
        <v>1088</v>
      </c>
      <c r="B25" s="128" t="s">
        <v>1089</v>
      </c>
      <c r="C25" s="127" t="s">
        <v>1924</v>
      </c>
      <c r="D25" s="143">
        <f>LOOKUP(A25,'[2]PT OCT 2011'!$A$2:$A$730,'[2]PT OCT 2011'!$D$2:$D$730)</f>
        <v>43.26</v>
      </c>
      <c r="V25" s="25" t="s">
        <v>263</v>
      </c>
      <c r="W25" s="28">
        <v>12000</v>
      </c>
    </row>
    <row r="26" spans="1:23" ht="15.75" customHeight="1">
      <c r="A26" s="133" t="s">
        <v>1636</v>
      </c>
      <c r="B26" s="128" t="s">
        <v>1931</v>
      </c>
      <c r="C26" s="127" t="s">
        <v>1924</v>
      </c>
      <c r="D26" s="143">
        <f>LOOKUP(A26,'[2]PT OCT 2011'!$A$2:$A$730,'[2]PT OCT 2011'!$D$2:$D$730)</f>
        <v>39.41</v>
      </c>
      <c r="V26" s="25" t="s">
        <v>264</v>
      </c>
      <c r="W26" s="28">
        <v>16000</v>
      </c>
    </row>
    <row r="27" spans="1:23" ht="15.75" customHeight="1">
      <c r="A27" s="133" t="s">
        <v>1668</v>
      </c>
      <c r="B27" s="128" t="s">
        <v>2011</v>
      </c>
      <c r="C27" s="127" t="s">
        <v>1924</v>
      </c>
      <c r="D27" s="143">
        <f>LOOKUP(A27,'[2]PT OCT 2011'!$A$2:$A$730,'[2]PT OCT 2011'!$D$2:$D$730)</f>
        <v>45.8</v>
      </c>
      <c r="V27" s="25" t="s">
        <v>265</v>
      </c>
      <c r="W27" s="28">
        <v>20000</v>
      </c>
    </row>
    <row r="28" spans="1:23" ht="15.75" customHeight="1">
      <c r="A28" s="133" t="s">
        <v>1195</v>
      </c>
      <c r="B28" s="128" t="s">
        <v>1196</v>
      </c>
      <c r="C28" s="127" t="s">
        <v>1924</v>
      </c>
      <c r="D28" s="143">
        <f>LOOKUP(A28,'[2]PT OCT 2011'!$A$2:$A$730,'[2]PT OCT 2011'!$D$2:$D$730)</f>
        <v>50.45</v>
      </c>
      <c r="V28" s="25" t="s">
        <v>266</v>
      </c>
      <c r="W28" s="28">
        <v>10000</v>
      </c>
    </row>
    <row r="29" spans="22:23" ht="15.75" customHeight="1">
      <c r="V29" s="25" t="s">
        <v>267</v>
      </c>
      <c r="W29" s="28">
        <v>12000</v>
      </c>
    </row>
    <row r="30" spans="1:23" ht="15.75" customHeight="1">
      <c r="A30" s="133" t="s">
        <v>2012</v>
      </c>
      <c r="B30" s="128" t="s">
        <v>1957</v>
      </c>
      <c r="C30" s="127" t="s">
        <v>348</v>
      </c>
      <c r="D30" s="143">
        <f>LOOKUP(A30,'[2]PT OCT 2011'!$A$2:$A$730,'[2]PT OCT 2011'!$D$2:$D$730)</f>
        <v>4.95</v>
      </c>
      <c r="V30" s="25" t="s">
        <v>268</v>
      </c>
      <c r="W30" s="28">
        <v>10000</v>
      </c>
    </row>
    <row r="31" spans="22:23" ht="15.75" customHeight="1">
      <c r="V31" s="25" t="s">
        <v>269</v>
      </c>
      <c r="W31" s="28">
        <v>10000</v>
      </c>
    </row>
    <row r="32" spans="22:23" ht="15.75" customHeight="1">
      <c r="V32" s="25" t="s">
        <v>270</v>
      </c>
      <c r="W32" s="28">
        <v>10000</v>
      </c>
    </row>
    <row r="33" spans="22:23" ht="15.75" customHeight="1">
      <c r="V33" s="25" t="s">
        <v>271</v>
      </c>
      <c r="W33" s="28">
        <v>12000</v>
      </c>
    </row>
    <row r="34" spans="22:23" ht="15.75" customHeight="1" thickBot="1">
      <c r="V34" s="26" t="s">
        <v>272</v>
      </c>
      <c r="W34" s="29">
        <v>12000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4">
    <mergeCell ref="A1:Q1"/>
    <mergeCell ref="Q4:Q5"/>
    <mergeCell ref="J4:K4"/>
    <mergeCell ref="L4:P4"/>
    <mergeCell ref="H4:I4"/>
    <mergeCell ref="G4:G5"/>
    <mergeCell ref="F4:F5"/>
    <mergeCell ref="E4:E5"/>
    <mergeCell ref="D4:D5"/>
    <mergeCell ref="C4:C5"/>
    <mergeCell ref="V5:V6"/>
    <mergeCell ref="B4:B6"/>
    <mergeCell ref="A4:A6"/>
    <mergeCell ref="A2:Q2"/>
  </mergeCells>
  <printOptions horizontalCentered="1"/>
  <pageMargins left="0.5905511811023623" right="0.5905511811023623" top="1.4960629921259843" bottom="0.5905511811023623" header="0" footer="0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62"/>
  <sheetViews>
    <sheetView showGridLines="0" zoomScale="90" zoomScaleNormal="90" zoomScaleSheetLayoutView="75" zoomScalePageLayoutView="0" workbookViewId="0" topLeftCell="A1">
      <selection activeCell="E29" sqref="E29"/>
    </sheetView>
  </sheetViews>
  <sheetFormatPr defaultColWidth="9.796875" defaultRowHeight="15"/>
  <cols>
    <col min="1" max="1" width="9.09765625" style="1" customWidth="1"/>
    <col min="2" max="2" width="27.8984375" style="1" customWidth="1"/>
    <col min="3" max="3" width="7.2968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221" t="s">
        <v>1832</v>
      </c>
      <c r="C2" s="77" t="str">
        <f>Fecha</f>
        <v>abr-2014</v>
      </c>
      <c r="D2" s="65"/>
      <c r="E2" s="48"/>
      <c r="F2" s="222">
        <f>SUM(F4:F7)</f>
        <v>182.3084</v>
      </c>
      <c r="G2" s="41"/>
    </row>
    <row r="3" spans="1:7" ht="13.5" thickBot="1">
      <c r="A3" s="7" t="s">
        <v>345</v>
      </c>
      <c r="B3" s="7" t="s">
        <v>1683</v>
      </c>
      <c r="C3" s="78" t="s">
        <v>344</v>
      </c>
      <c r="D3" s="49" t="s">
        <v>1812</v>
      </c>
      <c r="E3" s="50"/>
      <c r="F3" s="68"/>
      <c r="G3" s="42" t="s">
        <v>1984</v>
      </c>
    </row>
    <row r="4" spans="1:6" ht="13.5" thickTop="1">
      <c r="A4" s="82" t="s">
        <v>350</v>
      </c>
      <c r="E4" s="51"/>
      <c r="F4" s="69"/>
    </row>
    <row r="5" spans="1:6" ht="12.75">
      <c r="A5" s="82" t="s">
        <v>351</v>
      </c>
      <c r="D5" s="51"/>
      <c r="E5" s="51"/>
      <c r="F5" s="69"/>
    </row>
    <row r="6" spans="1:6" ht="12.75">
      <c r="A6" s="3" t="s">
        <v>1636</v>
      </c>
      <c r="B6" s="4" t="str">
        <f>VLOOKUP(A6,Insumos,2)</f>
        <v>cuadrilla tipo UOCRA</v>
      </c>
      <c r="C6" s="6" t="str">
        <f>VLOOKUP(A6,Insumos,3)</f>
        <v>h</v>
      </c>
      <c r="D6" s="51">
        <v>3.14</v>
      </c>
      <c r="E6" s="51">
        <f>VLOOKUP(A6,'IN-04-14'!A6:D880,4,FALSE)</f>
        <v>58.06</v>
      </c>
      <c r="F6" s="69">
        <f>(D6*E6)</f>
        <v>182.3084</v>
      </c>
    </row>
    <row r="7" spans="1:6" ht="12.75">
      <c r="A7" s="82" t="s">
        <v>352</v>
      </c>
      <c r="D7" s="51"/>
      <c r="E7" s="51"/>
      <c r="F7" s="69"/>
    </row>
    <row r="8" spans="4:6" ht="13.5" thickBot="1">
      <c r="D8" s="51"/>
      <c r="E8" s="223"/>
      <c r="F8" s="69"/>
    </row>
    <row r="9" spans="1:7" ht="13.5" thickTop="1">
      <c r="A9" s="75" t="s">
        <v>346</v>
      </c>
      <c r="B9" s="221" t="s">
        <v>1833</v>
      </c>
      <c r="C9" s="77" t="str">
        <f>Fecha</f>
        <v>abr-2014</v>
      </c>
      <c r="D9" s="48"/>
      <c r="E9" s="51"/>
      <c r="F9" s="222">
        <f>SUM(F11:F14)</f>
        <v>231.0788</v>
      </c>
      <c r="G9" s="41"/>
    </row>
    <row r="10" spans="1:7" ht="13.5" thickBot="1">
      <c r="A10" s="7" t="s">
        <v>345</v>
      </c>
      <c r="B10" s="7" t="s">
        <v>1683</v>
      </c>
      <c r="C10" s="78" t="s">
        <v>344</v>
      </c>
      <c r="D10" s="49" t="s">
        <v>1732</v>
      </c>
      <c r="E10" s="223"/>
      <c r="F10" s="68"/>
      <c r="G10" s="42" t="s">
        <v>1984</v>
      </c>
    </row>
    <row r="11" spans="1:6" ht="13.5" thickTop="1">
      <c r="A11" s="82" t="s">
        <v>350</v>
      </c>
      <c r="D11" s="51"/>
      <c r="E11" s="51"/>
      <c r="F11" s="69"/>
    </row>
    <row r="12" spans="1:6" ht="12.75">
      <c r="A12" s="82" t="s">
        <v>351</v>
      </c>
      <c r="D12" s="51"/>
      <c r="E12" s="51"/>
      <c r="F12" s="69"/>
    </row>
    <row r="13" spans="1:6" ht="12.75">
      <c r="A13" s="3" t="s">
        <v>1636</v>
      </c>
      <c r="B13" s="4" t="str">
        <f>VLOOKUP(A13,Insumos,2)</f>
        <v>cuadrilla tipo UOCRA</v>
      </c>
      <c r="C13" s="6" t="str">
        <f>VLOOKUP(A13,Insumos,3)</f>
        <v>h</v>
      </c>
      <c r="D13" s="51">
        <v>3.98</v>
      </c>
      <c r="E13" s="51">
        <f>VLOOKUP(A13,'IN-04-14'!A13:D887,4,FALSE)</f>
        <v>58.06</v>
      </c>
      <c r="F13" s="69">
        <f>(D13*E13)</f>
        <v>231.0788</v>
      </c>
    </row>
    <row r="14" spans="1:6" ht="12.75">
      <c r="A14" s="82" t="s">
        <v>352</v>
      </c>
      <c r="D14" s="51"/>
      <c r="E14" s="51"/>
      <c r="F14" s="69"/>
    </row>
    <row r="15" spans="4:6" ht="13.5" thickBot="1">
      <c r="D15" s="51"/>
      <c r="E15" s="223"/>
      <c r="F15" s="69"/>
    </row>
    <row r="16" spans="1:7" ht="13.5" thickTop="1">
      <c r="A16" s="75" t="s">
        <v>346</v>
      </c>
      <c r="B16" s="221" t="s">
        <v>1834</v>
      </c>
      <c r="C16" s="77" t="str">
        <f>Fecha</f>
        <v>abr-2014</v>
      </c>
      <c r="D16" s="48"/>
      <c r="E16" s="51"/>
      <c r="F16" s="222">
        <f>SUM(F18:F21)</f>
        <v>385.5184</v>
      </c>
      <c r="G16" s="41"/>
    </row>
    <row r="17" spans="1:7" ht="13.5" thickBot="1">
      <c r="A17" s="7" t="s">
        <v>345</v>
      </c>
      <c r="B17" s="7" t="s">
        <v>1683</v>
      </c>
      <c r="C17" s="78" t="s">
        <v>344</v>
      </c>
      <c r="D17" s="49" t="s">
        <v>1733</v>
      </c>
      <c r="E17" s="223"/>
      <c r="F17" s="68"/>
      <c r="G17" s="42" t="s">
        <v>1984</v>
      </c>
    </row>
    <row r="18" spans="1:6" ht="13.5" thickTop="1">
      <c r="A18" s="82" t="s">
        <v>350</v>
      </c>
      <c r="D18" s="51"/>
      <c r="E18" s="51"/>
      <c r="F18" s="69"/>
    </row>
    <row r="19" spans="1:6" ht="12.75">
      <c r="A19" s="82" t="s">
        <v>351</v>
      </c>
      <c r="D19" s="51"/>
      <c r="E19" s="51"/>
      <c r="F19" s="69"/>
    </row>
    <row r="20" spans="1:6" ht="12.75">
      <c r="A20" s="3" t="s">
        <v>1636</v>
      </c>
      <c r="B20" s="4" t="str">
        <f>VLOOKUP(A20,Insumos,2)</f>
        <v>cuadrilla tipo UOCRA</v>
      </c>
      <c r="C20" s="6" t="str">
        <f>VLOOKUP(A20,Insumos,3)</f>
        <v>h</v>
      </c>
      <c r="D20" s="51">
        <v>6.64</v>
      </c>
      <c r="E20" s="51">
        <f>VLOOKUP(A20,'IN-04-14'!A20:D894,4,FALSE)</f>
        <v>58.06</v>
      </c>
      <c r="F20" s="69">
        <f>(D20*E20)</f>
        <v>385.5184</v>
      </c>
    </row>
    <row r="21" spans="1:6" ht="12.75">
      <c r="A21" s="82" t="s">
        <v>352</v>
      </c>
      <c r="D21" s="51"/>
      <c r="E21" s="51"/>
      <c r="F21" s="69"/>
    </row>
    <row r="22" spans="4:6" ht="13.5" thickBot="1">
      <c r="D22" s="51"/>
      <c r="E22" s="223"/>
      <c r="F22" s="69"/>
    </row>
    <row r="23" spans="1:7" ht="13.5" thickTop="1">
      <c r="A23" s="75" t="s">
        <v>346</v>
      </c>
      <c r="B23" s="221" t="s">
        <v>1835</v>
      </c>
      <c r="C23" s="77" t="str">
        <f>Fecha</f>
        <v>abr-2014</v>
      </c>
      <c r="D23" s="48"/>
      <c r="E23" s="51"/>
      <c r="F23" s="222">
        <f>SUM(F25:F29)</f>
        <v>241.1022</v>
      </c>
      <c r="G23" s="41"/>
    </row>
    <row r="24" spans="1:7" ht="13.5" thickBot="1">
      <c r="A24" s="7" t="s">
        <v>345</v>
      </c>
      <c r="B24" s="7" t="s">
        <v>1683</v>
      </c>
      <c r="C24" s="78" t="s">
        <v>344</v>
      </c>
      <c r="D24" s="49" t="s">
        <v>1813</v>
      </c>
      <c r="E24" s="223"/>
      <c r="F24" s="68"/>
      <c r="G24" s="42" t="s">
        <v>1984</v>
      </c>
    </row>
    <row r="25" spans="1:6" ht="13.5" thickTop="1">
      <c r="A25" s="82" t="s">
        <v>350</v>
      </c>
      <c r="D25" s="51"/>
      <c r="E25" s="51"/>
      <c r="F25" s="69"/>
    </row>
    <row r="26" spans="1:6" ht="12.75">
      <c r="A26" s="82" t="s">
        <v>351</v>
      </c>
      <c r="D26" s="51"/>
      <c r="E26" s="51"/>
      <c r="F26" s="69"/>
    </row>
    <row r="27" spans="1:6" ht="12.75">
      <c r="A27" s="3" t="s">
        <v>1636</v>
      </c>
      <c r="B27" s="4" t="str">
        <f>VLOOKUP(A27,Insumos,2)</f>
        <v>cuadrilla tipo UOCRA</v>
      </c>
      <c r="C27" s="6" t="str">
        <f>VLOOKUP(A27,Insumos,3)</f>
        <v>h</v>
      </c>
      <c r="D27" s="51">
        <v>3.98</v>
      </c>
      <c r="E27" s="51">
        <f>VLOOKUP(A27,'IN-04-14'!A27:D901,4,FALSE)</f>
        <v>58.06</v>
      </c>
      <c r="F27" s="69">
        <f>(D27*E27)</f>
        <v>231.0788</v>
      </c>
    </row>
    <row r="28" spans="1:6" ht="12.75">
      <c r="A28" s="82" t="s">
        <v>352</v>
      </c>
      <c r="D28" s="51"/>
      <c r="E28" s="51"/>
      <c r="F28" s="69"/>
    </row>
    <row r="29" spans="1:6" ht="12.75">
      <c r="A29" s="3" t="s">
        <v>1637</v>
      </c>
      <c r="B29" s="4" t="str">
        <f>VLOOKUP(A29,Insumos,2)</f>
        <v>canasta 1 (camión volcador)</v>
      </c>
      <c r="C29" s="6" t="str">
        <f>VLOOKUP(A29,Insumos,3)</f>
        <v>h</v>
      </c>
      <c r="D29" s="51">
        <v>0.02</v>
      </c>
      <c r="E29" s="51">
        <f>VLOOKUP(A29,'IN-04-14'!A29:D903,4,FALSE)</f>
        <v>501.17</v>
      </c>
      <c r="F29" s="69">
        <f>(D29*E29)</f>
        <v>10.0234</v>
      </c>
    </row>
    <row r="30" spans="1:6" ht="13.5" thickBot="1">
      <c r="A30" s="3"/>
      <c r="B30" s="4"/>
      <c r="C30" s="6"/>
      <c r="D30" s="51"/>
      <c r="E30" s="223"/>
      <c r="F30" s="69"/>
    </row>
    <row r="31" spans="1:7" ht="13.5" thickTop="1">
      <c r="A31" s="75" t="s">
        <v>346</v>
      </c>
      <c r="B31" s="221" t="s">
        <v>1838</v>
      </c>
      <c r="C31" s="77" t="str">
        <f>Fecha</f>
        <v>abr-2014</v>
      </c>
      <c r="D31" s="48"/>
      <c r="E31" s="51"/>
      <c r="F31" s="222">
        <f>SUM(F33:F38)</f>
        <v>132.941</v>
      </c>
      <c r="G31" s="41"/>
    </row>
    <row r="32" spans="1:7" ht="13.5" thickBot="1">
      <c r="A32" s="7" t="s">
        <v>345</v>
      </c>
      <c r="B32" s="7" t="s">
        <v>1683</v>
      </c>
      <c r="C32" s="78" t="s">
        <v>344</v>
      </c>
      <c r="D32" s="49" t="s">
        <v>1839</v>
      </c>
      <c r="E32" s="223"/>
      <c r="F32" s="68"/>
      <c r="G32" s="42" t="s">
        <v>1984</v>
      </c>
    </row>
    <row r="33" spans="1:6" ht="13.5" thickTop="1">
      <c r="A33" s="82" t="s">
        <v>350</v>
      </c>
      <c r="D33" s="51"/>
      <c r="E33" s="51"/>
      <c r="F33" s="69"/>
    </row>
    <row r="34" spans="1:6" ht="12.75">
      <c r="A34" s="82" t="s">
        <v>351</v>
      </c>
      <c r="D34" s="51"/>
      <c r="E34" s="51"/>
      <c r="F34" s="69"/>
    </row>
    <row r="35" spans="1:6" ht="12.75">
      <c r="A35" s="3" t="s">
        <v>1636</v>
      </c>
      <c r="B35" s="4" t="str">
        <f>VLOOKUP(A35,Insumos,2)</f>
        <v>cuadrilla tipo UOCRA</v>
      </c>
      <c r="C35" s="6" t="str">
        <f>VLOOKUP(A35,Insumos,3)</f>
        <v>h</v>
      </c>
      <c r="D35" s="51">
        <v>2</v>
      </c>
      <c r="E35" s="51">
        <f>VLOOKUP(A35,'IN-04-14'!A35:D909,4,FALSE)</f>
        <v>58.06</v>
      </c>
      <c r="F35" s="69">
        <f>(D35*E35)</f>
        <v>116.12</v>
      </c>
    </row>
    <row r="36" spans="1:6" ht="12.75">
      <c r="A36" s="82" t="s">
        <v>352</v>
      </c>
      <c r="D36" s="51"/>
      <c r="E36" s="51"/>
      <c r="F36" s="69"/>
    </row>
    <row r="37" spans="1:6" ht="12.75">
      <c r="A37" s="3" t="s">
        <v>1814</v>
      </c>
      <c r="B37" s="4" t="str">
        <f>VLOOKUP(A37,Insumos,2)</f>
        <v>motoniveladora</v>
      </c>
      <c r="C37" s="6" t="str">
        <f>VLOOKUP(A37,Insumos,3)</f>
        <v>h</v>
      </c>
      <c r="D37" s="51">
        <v>0.027</v>
      </c>
      <c r="E37" s="51">
        <f>VLOOKUP(A37,'IN-04-14'!A37:D911,4,FALSE)</f>
        <v>623</v>
      </c>
      <c r="F37" s="69">
        <f>(D37*E37)</f>
        <v>16.821</v>
      </c>
    </row>
    <row r="38" spans="1:6" ht="13.5" thickBot="1">
      <c r="A38" s="3"/>
      <c r="B38" s="4"/>
      <c r="C38" s="6"/>
      <c r="D38" s="51"/>
      <c r="E38" s="51"/>
      <c r="F38" s="69"/>
    </row>
    <row r="39" spans="1:7" ht="13.5" thickTop="1">
      <c r="A39" s="75" t="s">
        <v>346</v>
      </c>
      <c r="B39" s="221" t="s">
        <v>14</v>
      </c>
      <c r="C39" s="77" t="str">
        <f>Fecha</f>
        <v>abr-2014</v>
      </c>
      <c r="D39" s="48"/>
      <c r="E39" s="48"/>
      <c r="F39" s="222">
        <f>SUM(F41:F45)</f>
        <v>134.8524</v>
      </c>
      <c r="G39" s="41"/>
    </row>
    <row r="40" spans="1:7" ht="13.5" thickBot="1">
      <c r="A40" s="7" t="s">
        <v>345</v>
      </c>
      <c r="B40" s="7" t="s">
        <v>1683</v>
      </c>
      <c r="C40" s="78" t="s">
        <v>344</v>
      </c>
      <c r="D40" s="49" t="s">
        <v>1840</v>
      </c>
      <c r="E40" s="50"/>
      <c r="F40" s="68"/>
      <c r="G40" s="42" t="s">
        <v>1984</v>
      </c>
    </row>
    <row r="41" spans="1:6" ht="13.5" thickTop="1">
      <c r="A41" s="82" t="s">
        <v>350</v>
      </c>
      <c r="D41" s="51"/>
      <c r="E41" s="51"/>
      <c r="F41" s="69"/>
    </row>
    <row r="42" spans="1:6" ht="12.75">
      <c r="A42" s="82" t="s">
        <v>351</v>
      </c>
      <c r="D42" s="51"/>
      <c r="E42" s="51"/>
      <c r="F42" s="69"/>
    </row>
    <row r="43" spans="1:6" ht="12.75">
      <c r="A43" s="3" t="s">
        <v>1636</v>
      </c>
      <c r="B43" s="4" t="str">
        <f>VLOOKUP(A43,Insumos,2)</f>
        <v>cuadrilla tipo UOCRA</v>
      </c>
      <c r="C43" s="6" t="str">
        <f>VLOOKUP(A43,Insumos,3)</f>
        <v>h</v>
      </c>
      <c r="D43" s="51">
        <v>2.15</v>
      </c>
      <c r="E43" s="51">
        <f>VLOOKUP(A43,'IN-04-14'!A43:D917,4,FALSE)</f>
        <v>58.06</v>
      </c>
      <c r="F43" s="69">
        <f>(D43*E43)</f>
        <v>124.829</v>
      </c>
    </row>
    <row r="44" spans="1:6" ht="12.75">
      <c r="A44" s="82" t="s">
        <v>352</v>
      </c>
      <c r="D44" s="51"/>
      <c r="E44" s="51"/>
      <c r="F44" s="69"/>
    </row>
    <row r="45" spans="1:6" ht="12.75">
      <c r="A45" s="3" t="s">
        <v>1637</v>
      </c>
      <c r="B45" s="4" t="str">
        <f>VLOOKUP(A45,Insumos,2)</f>
        <v>canasta 1 (camión volcador)</v>
      </c>
      <c r="C45" s="6" t="str">
        <f>VLOOKUP(A45,Insumos,3)</f>
        <v>h</v>
      </c>
      <c r="D45" s="51">
        <v>0.02</v>
      </c>
      <c r="E45" s="51">
        <f>VLOOKUP(A45,'IN-04-14'!A45:D919,4,FALSE)</f>
        <v>501.17</v>
      </c>
      <c r="F45" s="69">
        <f>(D45*E45)</f>
        <v>10.0234</v>
      </c>
    </row>
    <row r="46" spans="1:6" ht="13.5" thickBot="1">
      <c r="A46" s="3"/>
      <c r="B46" s="4"/>
      <c r="C46" s="6"/>
      <c r="D46" s="51"/>
      <c r="E46" s="51"/>
      <c r="F46" s="69"/>
    </row>
    <row r="47" spans="1:7" ht="13.5" thickTop="1">
      <c r="A47" s="75" t="s">
        <v>346</v>
      </c>
      <c r="B47" s="221" t="s">
        <v>370</v>
      </c>
      <c r="C47" s="77" t="str">
        <f>Fecha</f>
        <v>abr-2014</v>
      </c>
      <c r="D47" s="48"/>
      <c r="E47" s="48"/>
      <c r="F47" s="222">
        <f>SUM(F49:F53)</f>
        <v>23.600590000000004</v>
      </c>
      <c r="G47" s="41"/>
    </row>
    <row r="48" spans="1:7" ht="13.5" thickBot="1">
      <c r="A48" s="7" t="s">
        <v>345</v>
      </c>
      <c r="B48" s="7" t="s">
        <v>1683</v>
      </c>
      <c r="C48" s="78" t="s">
        <v>344</v>
      </c>
      <c r="D48" s="49" t="s">
        <v>372</v>
      </c>
      <c r="E48" s="50"/>
      <c r="F48" s="68"/>
      <c r="G48" s="42" t="s">
        <v>1984</v>
      </c>
    </row>
    <row r="49" spans="1:6" ht="13.5" thickTop="1">
      <c r="A49" s="82" t="s">
        <v>350</v>
      </c>
      <c r="D49" s="51"/>
      <c r="E49" s="51"/>
      <c r="F49" s="69"/>
    </row>
    <row r="50" spans="1:6" ht="12.75">
      <c r="A50" s="82" t="s">
        <v>351</v>
      </c>
      <c r="D50" s="51"/>
      <c r="E50" s="51"/>
      <c r="F50" s="69"/>
    </row>
    <row r="51" spans="1:8" ht="12.75">
      <c r="A51" s="3" t="s">
        <v>1636</v>
      </c>
      <c r="B51" s="4" t="str">
        <f>VLOOKUP(A51,Insumos,2)</f>
        <v>cuadrilla tipo UOCRA</v>
      </c>
      <c r="C51" s="6" t="str">
        <f>VLOOKUP(A51,Insumos,3)</f>
        <v>h</v>
      </c>
      <c r="D51" s="51">
        <v>0.164</v>
      </c>
      <c r="E51" s="51">
        <f>VLOOKUP(A51,'IN-04-14'!A51:D925,4,FALSE)</f>
        <v>58.06</v>
      </c>
      <c r="F51" s="69">
        <f>(D51*E51)</f>
        <v>9.521840000000001</v>
      </c>
      <c r="H51" s="86"/>
    </row>
    <row r="52" spans="1:6" ht="12.75">
      <c r="A52" s="82" t="s">
        <v>352</v>
      </c>
      <c r="D52" s="51"/>
      <c r="E52" s="51"/>
      <c r="F52" s="69"/>
    </row>
    <row r="53" spans="1:8" ht="12.75">
      <c r="A53" s="3" t="s">
        <v>1956</v>
      </c>
      <c r="B53" s="4" t="str">
        <f>VLOOKUP(A53,Insumos,2)</f>
        <v>canasta 3 (retroexcavadora 87 HP)</v>
      </c>
      <c r="C53" s="6" t="str">
        <f>VLOOKUP(A53,Insumos,3)</f>
        <v>h</v>
      </c>
      <c r="D53" s="51">
        <v>0.035</v>
      </c>
      <c r="E53" s="51">
        <f>VLOOKUP(A53,'IN-04-14'!A53:D927,4,FALSE)</f>
        <v>402.25</v>
      </c>
      <c r="F53" s="69">
        <f>(D53*E53)</f>
        <v>14.078750000000001</v>
      </c>
      <c r="H53" s="86"/>
    </row>
    <row r="54" ht="13.5" thickBot="1"/>
    <row r="55" spans="1:7" ht="13.5" thickTop="1">
      <c r="A55" s="75" t="s">
        <v>346</v>
      </c>
      <c r="B55" s="221" t="s">
        <v>371</v>
      </c>
      <c r="C55" s="77" t="str">
        <f>Fecha</f>
        <v>abr-2014</v>
      </c>
      <c r="D55" s="48"/>
      <c r="E55" s="48"/>
      <c r="F55" s="222">
        <f>SUM(F57:F62)</f>
        <v>7.009950000000001</v>
      </c>
      <c r="G55" s="41"/>
    </row>
    <row r="56" spans="1:7" ht="13.5" thickBot="1">
      <c r="A56" s="7" t="s">
        <v>345</v>
      </c>
      <c r="B56" s="7" t="s">
        <v>1683</v>
      </c>
      <c r="C56" s="78" t="s">
        <v>344</v>
      </c>
      <c r="D56" s="49" t="s">
        <v>373</v>
      </c>
      <c r="E56" s="50"/>
      <c r="F56" s="68"/>
      <c r="G56" s="42" t="s">
        <v>1984</v>
      </c>
    </row>
    <row r="57" spans="1:6" ht="13.5" thickTop="1">
      <c r="A57" s="82" t="s">
        <v>350</v>
      </c>
      <c r="D57" s="51"/>
      <c r="E57" s="51"/>
      <c r="F57" s="69"/>
    </row>
    <row r="58" spans="1:6" ht="12.75">
      <c r="A58" s="82" t="s">
        <v>351</v>
      </c>
      <c r="D58" s="51"/>
      <c r="E58" s="51"/>
      <c r="F58" s="69"/>
    </row>
    <row r="59" spans="1:8" ht="12.75">
      <c r="A59" s="3" t="s">
        <v>1636</v>
      </c>
      <c r="B59" s="4" t="str">
        <f>VLOOKUP(A59,Insumos,2)</f>
        <v>cuadrilla tipo UOCRA</v>
      </c>
      <c r="C59" s="6" t="str">
        <f>VLOOKUP(A59,Insumos,3)</f>
        <v>h</v>
      </c>
      <c r="D59" s="51">
        <v>0.05</v>
      </c>
      <c r="E59" s="51">
        <f>VLOOKUP(A59,'IN-04-14'!A59:D933,4,FALSE)</f>
        <v>58.06</v>
      </c>
      <c r="F59" s="69">
        <f>(D59*E59)</f>
        <v>2.9030000000000005</v>
      </c>
      <c r="H59" s="86"/>
    </row>
    <row r="60" spans="1:6" ht="12.75">
      <c r="A60" s="82" t="s">
        <v>352</v>
      </c>
      <c r="D60" s="51"/>
      <c r="E60" s="51"/>
      <c r="F60" s="69"/>
    </row>
    <row r="61" spans="1:8" ht="12.75">
      <c r="A61" s="3" t="s">
        <v>1956</v>
      </c>
      <c r="B61" s="4" t="str">
        <f>VLOOKUP(A61,Insumos,2)</f>
        <v>canasta 3 (retroexcavadora 87 HP)</v>
      </c>
      <c r="C61" s="6" t="str">
        <f>VLOOKUP(A61,Insumos,3)</f>
        <v>h</v>
      </c>
      <c r="D61" s="51">
        <v>0.005</v>
      </c>
      <c r="E61" s="51">
        <f>VLOOKUP(A61,'IN-04-14'!A61:D935,4,FALSE)</f>
        <v>402.25</v>
      </c>
      <c r="F61" s="69">
        <f>(D61*E61)</f>
        <v>2.01125</v>
      </c>
      <c r="H61" s="86"/>
    </row>
    <row r="62" spans="1:8" ht="12.75">
      <c r="A62" s="3" t="s">
        <v>1815</v>
      </c>
      <c r="B62" s="4" t="str">
        <f>VLOOKUP(A62,Insumos,2)</f>
        <v>vibrocompactador autopropulsado 120 HP</v>
      </c>
      <c r="C62" s="6" t="str">
        <f>VLOOKUP(A62,Insumos,3)</f>
        <v>h</v>
      </c>
      <c r="D62" s="51">
        <v>0.005</v>
      </c>
      <c r="E62" s="51">
        <f>VLOOKUP(A62,'IN-04-14'!A62:D936,4,FALSE)</f>
        <v>419.14</v>
      </c>
      <c r="F62" s="69">
        <f>(D62*E62)</f>
        <v>2.0957</v>
      </c>
      <c r="H62" s="86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3"/>
  </sheetPr>
  <dimension ref="A1:G48"/>
  <sheetViews>
    <sheetView showGridLines="0" zoomScale="90" zoomScaleNormal="90" zoomScaleSheetLayoutView="75" zoomScalePageLayoutView="0" workbookViewId="0" topLeftCell="A1">
      <selection activeCell="F37" sqref="F3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221" t="s">
        <v>1846</v>
      </c>
      <c r="C2" s="77" t="str">
        <f>Fecha</f>
        <v>abr-2014</v>
      </c>
      <c r="D2" s="48"/>
      <c r="E2" s="48"/>
      <c r="F2" s="222">
        <f>SUM(F4:F11)</f>
        <v>49.11751000000001</v>
      </c>
      <c r="G2" s="41"/>
    </row>
    <row r="3" spans="1:7" ht="13.5" thickBot="1">
      <c r="A3" s="7" t="s">
        <v>345</v>
      </c>
      <c r="B3" s="7" t="s">
        <v>1684</v>
      </c>
      <c r="C3" s="78" t="s">
        <v>344</v>
      </c>
      <c r="D3" s="49" t="s">
        <v>1845</v>
      </c>
      <c r="E3" s="50"/>
      <c r="F3" s="68"/>
      <c r="G3" s="42" t="s">
        <v>1937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1639</v>
      </c>
      <c r="B5" s="4" t="str">
        <f>VLOOKUP(A5,Insumos,2)</f>
        <v>cemento Portland</v>
      </c>
      <c r="C5" s="6" t="str">
        <f>VLOOKUP(A5,Insumos,3)</f>
        <v>kg</v>
      </c>
      <c r="D5" s="51">
        <v>10</v>
      </c>
      <c r="E5" s="51">
        <f>VLOOKUP(A5,'IN-04-14'!A6:D880,4,FALSE)</f>
        <v>1.65</v>
      </c>
      <c r="F5" s="69">
        <f>(D5*E5)</f>
        <v>16.5</v>
      </c>
    </row>
    <row r="6" spans="1:6" ht="12.75">
      <c r="A6" s="3" t="s">
        <v>1640</v>
      </c>
      <c r="B6" s="4" t="str">
        <f>VLOOKUP(A6,Insumos,2)</f>
        <v>ripio zarandeado 1/3</v>
      </c>
      <c r="C6" s="6" t="str">
        <f>VLOOKUP(A6,Insumos,3)</f>
        <v>m3</v>
      </c>
      <c r="D6" s="51">
        <v>0.035</v>
      </c>
      <c r="E6" s="51">
        <f>VLOOKUP(A6,'IN-04-14'!A7:D881,4,FALSE)</f>
        <v>126.06</v>
      </c>
      <c r="F6" s="69">
        <f>(D6*E6)</f>
        <v>4.412100000000001</v>
      </c>
    </row>
    <row r="7" spans="1:6" ht="12.75">
      <c r="A7" s="3" t="s">
        <v>1641</v>
      </c>
      <c r="B7" s="4" t="str">
        <f>VLOOKUP(A7,Insumos,2)</f>
        <v>arena gruesa</v>
      </c>
      <c r="C7" s="6" t="str">
        <f>VLOOKUP(A7,Insumos,3)</f>
        <v>m3</v>
      </c>
      <c r="D7" s="51">
        <v>0.03</v>
      </c>
      <c r="E7" s="51">
        <f>VLOOKUP(A7,'IN-04-14'!A8:D882,4,FALSE)</f>
        <v>141.805</v>
      </c>
      <c r="F7" s="69">
        <f>(D7*E7)</f>
        <v>4.25415</v>
      </c>
    </row>
    <row r="8" spans="1:6" ht="12.75">
      <c r="A8" s="82" t="s">
        <v>351</v>
      </c>
      <c r="D8" s="51"/>
      <c r="E8" s="51"/>
      <c r="F8" s="69"/>
    </row>
    <row r="9" spans="1:6" ht="12.75">
      <c r="A9" s="3" t="s">
        <v>1636</v>
      </c>
      <c r="B9" s="4" t="str">
        <f>VLOOKUP(A9,Insumos,2)</f>
        <v>cuadrilla tipo UOCRA</v>
      </c>
      <c r="C9" s="6" t="str">
        <f>VLOOKUP(A9,Insumos,3)</f>
        <v>h</v>
      </c>
      <c r="D9" s="51">
        <v>0.4</v>
      </c>
      <c r="E9" s="51">
        <f>VLOOKUP(A9,'IN-04-14'!A10:D884,4,FALSE)</f>
        <v>58.06</v>
      </c>
      <c r="F9" s="69">
        <f>(D9*E9)</f>
        <v>23.224000000000004</v>
      </c>
    </row>
    <row r="10" spans="1:6" ht="12.75">
      <c r="A10" s="82" t="s">
        <v>352</v>
      </c>
      <c r="D10" s="51"/>
      <c r="E10" s="51"/>
      <c r="F10" s="69"/>
    </row>
    <row r="11" spans="1:6" ht="12.75">
      <c r="A11" s="3" t="s">
        <v>1642</v>
      </c>
      <c r="B11" s="4" t="str">
        <f>VLOOKUP(A11,Insumos,2)</f>
        <v>canasta 2 (mixer 5m3)</v>
      </c>
      <c r="C11" s="6" t="str">
        <f>VLOOKUP(A11,Insumos,3)</f>
        <v>h</v>
      </c>
      <c r="D11" s="51">
        <v>0.001</v>
      </c>
      <c r="E11" s="51">
        <f>VLOOKUP(A11,'IN-04-14'!A12:D886,4,FALSE)</f>
        <v>727.26</v>
      </c>
      <c r="F11" s="69">
        <f>(D11*E11)</f>
        <v>0.72726</v>
      </c>
    </row>
    <row r="12" ht="13.5" thickBot="1">
      <c r="D12" s="51"/>
    </row>
    <row r="13" spans="1:7" ht="13.5" thickTop="1">
      <c r="A13" s="75" t="s">
        <v>346</v>
      </c>
      <c r="B13" s="221" t="s">
        <v>1856</v>
      </c>
      <c r="C13" s="77" t="str">
        <f>Fecha</f>
        <v>abr-2014</v>
      </c>
      <c r="D13" s="48"/>
      <c r="E13" s="48"/>
      <c r="F13" s="222">
        <f>SUM(F15:F23)</f>
        <v>2362.3864740000004</v>
      </c>
      <c r="G13" s="41"/>
    </row>
    <row r="14" spans="1:7" ht="13.5" thickBot="1">
      <c r="A14" s="7" t="s">
        <v>345</v>
      </c>
      <c r="B14" s="7" t="s">
        <v>1684</v>
      </c>
      <c r="C14" s="78" t="s">
        <v>344</v>
      </c>
      <c r="D14" s="49" t="s">
        <v>1868</v>
      </c>
      <c r="E14" s="50"/>
      <c r="F14" s="68"/>
      <c r="G14" s="42" t="s">
        <v>1984</v>
      </c>
    </row>
    <row r="15" spans="1:6" ht="13.5" thickTop="1">
      <c r="A15" s="82" t="s">
        <v>350</v>
      </c>
      <c r="D15" s="51"/>
      <c r="E15" s="51"/>
      <c r="F15" s="69"/>
    </row>
    <row r="16" spans="1:6" ht="12.75">
      <c r="A16" s="3" t="s">
        <v>1638</v>
      </c>
      <c r="B16" s="4" t="str">
        <f>VLOOKUP(A16,Insumos,2)</f>
        <v>hierro mejorado de 10 mm.</v>
      </c>
      <c r="C16" s="6" t="str">
        <f>VLOOKUP(A16,Insumos,3)</f>
        <v>kg</v>
      </c>
      <c r="D16" s="51">
        <v>58.78</v>
      </c>
      <c r="E16" s="51">
        <f>VLOOKUP(A16,'IN-04-14'!A7:D7,4,FALSE)</f>
        <v>9.3933</v>
      </c>
      <c r="F16" s="69">
        <f>(D16*E16)</f>
        <v>552.138174</v>
      </c>
    </row>
    <row r="17" spans="1:6" ht="12.75">
      <c r="A17" s="3" t="s">
        <v>1639</v>
      </c>
      <c r="B17" s="4" t="str">
        <f>VLOOKUP(A17,Insumos,2)</f>
        <v>cemento Portland</v>
      </c>
      <c r="C17" s="6" t="str">
        <f>VLOOKUP(A17,Insumos,3)</f>
        <v>kg</v>
      </c>
      <c r="D17" s="51">
        <v>250</v>
      </c>
      <c r="E17" s="51">
        <f>VLOOKUP(A17,'IN-04-14'!A18:D892,4,FALSE)</f>
        <v>1.65</v>
      </c>
      <c r="F17" s="69">
        <f>(D17*E17)</f>
        <v>412.5</v>
      </c>
    </row>
    <row r="18" spans="1:6" ht="12.75">
      <c r="A18" s="3" t="s">
        <v>1640</v>
      </c>
      <c r="B18" s="4" t="str">
        <f>VLOOKUP(A18,Insumos,2)</f>
        <v>ripio zarandeado 1/3</v>
      </c>
      <c r="C18" s="6" t="str">
        <f>VLOOKUP(A18,Insumos,3)</f>
        <v>m3</v>
      </c>
      <c r="D18" s="51">
        <v>0.7</v>
      </c>
      <c r="E18" s="51">
        <f>VLOOKUP(A18,'IN-04-14'!A19:D893,4,FALSE)</f>
        <v>126.06</v>
      </c>
      <c r="F18" s="69">
        <f>(D18*E18)</f>
        <v>88.24199999999999</v>
      </c>
    </row>
    <row r="19" spans="1:6" ht="12.75">
      <c r="A19" s="3" t="s">
        <v>1641</v>
      </c>
      <c r="B19" s="4" t="str">
        <f>VLOOKUP(A19,Insumos,2)</f>
        <v>arena gruesa</v>
      </c>
      <c r="C19" s="6" t="str">
        <f>VLOOKUP(A19,Insumos,3)</f>
        <v>m3</v>
      </c>
      <c r="D19" s="51">
        <v>0.6</v>
      </c>
      <c r="E19" s="51">
        <f>VLOOKUP(A19,'IN-04-14'!A20:D894,4,FALSE)</f>
        <v>141.805</v>
      </c>
      <c r="F19" s="69">
        <f>(D19*E19)</f>
        <v>85.083</v>
      </c>
    </row>
    <row r="20" spans="1:6" ht="12.75">
      <c r="A20" s="82" t="s">
        <v>351</v>
      </c>
      <c r="D20" s="51"/>
      <c r="E20" s="51"/>
      <c r="F20" s="69"/>
    </row>
    <row r="21" spans="1:6" ht="12.75">
      <c r="A21" s="3" t="s">
        <v>1636</v>
      </c>
      <c r="B21" s="4" t="str">
        <f>VLOOKUP(A21,Insumos,2)</f>
        <v>cuadrilla tipo UOCRA</v>
      </c>
      <c r="C21" s="6" t="str">
        <f>VLOOKUP(A21,Insumos,3)</f>
        <v>h</v>
      </c>
      <c r="D21" s="56">
        <v>20.4</v>
      </c>
      <c r="E21" s="51">
        <f>VLOOKUP(A21,'IN-04-14'!A22:D896,4,FALSE)</f>
        <v>58.06</v>
      </c>
      <c r="F21" s="69">
        <f>(D21*E21)</f>
        <v>1184.424</v>
      </c>
    </row>
    <row r="22" spans="1:6" ht="12.75">
      <c r="A22" s="82" t="s">
        <v>352</v>
      </c>
      <c r="D22" s="51"/>
      <c r="E22" s="51"/>
      <c r="F22" s="69"/>
    </row>
    <row r="23" spans="1:6" ht="12.75">
      <c r="A23" s="3" t="s">
        <v>1642</v>
      </c>
      <c r="B23" s="4" t="str">
        <f>VLOOKUP(A23,Insumos,2)</f>
        <v>canasta 2 (mixer 5m3)</v>
      </c>
      <c r="C23" s="6" t="str">
        <f>VLOOKUP(A23,Insumos,3)</f>
        <v>h</v>
      </c>
      <c r="D23" s="51">
        <v>0.055</v>
      </c>
      <c r="E23" s="51">
        <f>VLOOKUP(A23,'IN-04-14'!A24:D898,4,FALSE)</f>
        <v>727.26</v>
      </c>
      <c r="F23" s="69">
        <f>(D23*E23)</f>
        <v>39.9993</v>
      </c>
    </row>
    <row r="24" spans="4:6" ht="13.5" thickBot="1">
      <c r="D24" s="51"/>
      <c r="E24" s="51"/>
      <c r="F24" s="69"/>
    </row>
    <row r="25" spans="1:7" ht="13.5" thickTop="1">
      <c r="A25" s="75" t="s">
        <v>346</v>
      </c>
      <c r="B25" s="221" t="s">
        <v>1857</v>
      </c>
      <c r="C25" s="77" t="str">
        <f>Fecha</f>
        <v>abr-2014</v>
      </c>
      <c r="D25" s="48"/>
      <c r="E25" s="48"/>
      <c r="F25" s="222">
        <f>SUM(F27:F35)</f>
        <v>3015.0185500000002</v>
      </c>
      <c r="G25" s="41"/>
    </row>
    <row r="26" spans="1:7" ht="13.5" thickBot="1">
      <c r="A26" s="7" t="s">
        <v>345</v>
      </c>
      <c r="B26" s="7" t="s">
        <v>1684</v>
      </c>
      <c r="C26" s="78" t="s">
        <v>344</v>
      </c>
      <c r="D26" s="49" t="s">
        <v>1867</v>
      </c>
      <c r="E26" s="50"/>
      <c r="F26" s="68"/>
      <c r="G26" s="42" t="s">
        <v>1984</v>
      </c>
    </row>
    <row r="27" spans="1:6" ht="13.5" thickTop="1">
      <c r="A27" s="82" t="s">
        <v>350</v>
      </c>
      <c r="D27" s="51"/>
      <c r="E27" s="51"/>
      <c r="F27" s="69"/>
    </row>
    <row r="28" spans="1:6" ht="12.75">
      <c r="A28" s="3" t="s">
        <v>1638</v>
      </c>
      <c r="B28" s="4" t="str">
        <f>VLOOKUP(A28,Insumos,2)</f>
        <v>hierro mejorado de 10 mm.</v>
      </c>
      <c r="C28" s="6" t="str">
        <f>VLOOKUP(A28,Insumos,3)</f>
        <v>kg</v>
      </c>
      <c r="D28" s="51">
        <v>72.5</v>
      </c>
      <c r="E28" s="51">
        <f>VLOOKUP(A28,'IN-04-14'!A7:D7,4,FALSE)</f>
        <v>9.3933</v>
      </c>
      <c r="F28" s="69">
        <f>(D28*E28)</f>
        <v>681.01425</v>
      </c>
    </row>
    <row r="29" spans="1:6" ht="12.75">
      <c r="A29" s="3" t="s">
        <v>1639</v>
      </c>
      <c r="B29" s="4" t="str">
        <f>VLOOKUP(A29,Insumos,2)</f>
        <v>cemento Portland</v>
      </c>
      <c r="C29" s="6" t="str">
        <f>VLOOKUP(A29,Insumos,3)</f>
        <v>kg</v>
      </c>
      <c r="D29" s="51">
        <v>300</v>
      </c>
      <c r="E29" s="51">
        <f>VLOOKUP(A29,'IN-04-14'!A30:D904,4,FALSE)</f>
        <v>1.65</v>
      </c>
      <c r="F29" s="69">
        <f>(D29*E29)</f>
        <v>495</v>
      </c>
    </row>
    <row r="30" spans="1:6" ht="12.75">
      <c r="A30" s="3" t="s">
        <v>1640</v>
      </c>
      <c r="B30" s="4" t="str">
        <f>VLOOKUP(A30,Insumos,2)</f>
        <v>ripio zarandeado 1/3</v>
      </c>
      <c r="C30" s="6" t="str">
        <f>VLOOKUP(A30,Insumos,3)</f>
        <v>m3</v>
      </c>
      <c r="D30" s="51">
        <v>0.7</v>
      </c>
      <c r="E30" s="51">
        <f>VLOOKUP(A30,'IN-04-14'!A31:D905,4,FALSE)</f>
        <v>126.06</v>
      </c>
      <c r="F30" s="69">
        <f>(D30*E30)</f>
        <v>88.24199999999999</v>
      </c>
    </row>
    <row r="31" spans="1:6" ht="12.75">
      <c r="A31" s="3" t="s">
        <v>1641</v>
      </c>
      <c r="B31" s="4" t="str">
        <f>VLOOKUP(A31,Insumos,2)</f>
        <v>arena gruesa</v>
      </c>
      <c r="C31" s="6" t="str">
        <f>VLOOKUP(A31,Insumos,3)</f>
        <v>m3</v>
      </c>
      <c r="D31" s="51">
        <v>0.6</v>
      </c>
      <c r="E31" s="51">
        <f>VLOOKUP(A31,'IN-04-14'!A32:D906,4,FALSE)</f>
        <v>141.805</v>
      </c>
      <c r="F31" s="69">
        <f>(D31*E31)</f>
        <v>85.083</v>
      </c>
    </row>
    <row r="32" spans="1:6" ht="12.75">
      <c r="A32" s="82" t="s">
        <v>351</v>
      </c>
      <c r="D32" s="51"/>
      <c r="E32" s="51"/>
      <c r="F32" s="69"/>
    </row>
    <row r="33" spans="1:6" ht="12.75">
      <c r="A33" s="3" t="s">
        <v>1636</v>
      </c>
      <c r="B33" s="4" t="str">
        <f>VLOOKUP(A33,Insumos,2)</f>
        <v>cuadrilla tipo UOCRA</v>
      </c>
      <c r="C33" s="6" t="str">
        <f>VLOOKUP(A33,Insumos,3)</f>
        <v>h</v>
      </c>
      <c r="D33" s="64">
        <v>28</v>
      </c>
      <c r="E33" s="51">
        <f>VLOOKUP(A33,'IN-04-14'!A34:D908,4,FALSE)</f>
        <v>58.06</v>
      </c>
      <c r="F33" s="69">
        <f>(D33*E33)</f>
        <v>1625.68</v>
      </c>
    </row>
    <row r="34" spans="1:6" ht="12.75">
      <c r="A34" s="82" t="s">
        <v>352</v>
      </c>
      <c r="D34" s="51"/>
      <c r="E34" s="51"/>
      <c r="F34" s="69"/>
    </row>
    <row r="35" spans="1:6" ht="12.75">
      <c r="A35" s="3" t="s">
        <v>1642</v>
      </c>
      <c r="B35" s="4" t="str">
        <f>VLOOKUP(A35,Insumos,2)</f>
        <v>canasta 2 (mixer 5m3)</v>
      </c>
      <c r="C35" s="6" t="str">
        <f>VLOOKUP(A35,Insumos,3)</f>
        <v>h</v>
      </c>
      <c r="D35" s="51">
        <v>0.055</v>
      </c>
      <c r="E35" s="51">
        <f>VLOOKUP(A35,'IN-04-14'!A36:D910,4,FALSE)</f>
        <v>727.26</v>
      </c>
      <c r="F35" s="69">
        <f>(D35*E35)</f>
        <v>39.9993</v>
      </c>
    </row>
    <row r="36" spans="1:6" ht="13.5" thickBot="1">
      <c r="A36" s="3"/>
      <c r="B36" s="4"/>
      <c r="C36" s="6"/>
      <c r="D36" s="51"/>
      <c r="E36" s="51"/>
      <c r="F36" s="69"/>
    </row>
    <row r="37" spans="1:7" ht="13.5" thickTop="1">
      <c r="A37" s="75" t="s">
        <v>346</v>
      </c>
      <c r="B37" s="221" t="s">
        <v>1866</v>
      </c>
      <c r="C37" s="77" t="str">
        <f>Fecha</f>
        <v>abr-2014</v>
      </c>
      <c r="D37" s="48"/>
      <c r="E37" s="48"/>
      <c r="F37" s="222">
        <f>SUM(F39:F47)</f>
        <v>2933.449175</v>
      </c>
      <c r="G37" s="41"/>
    </row>
    <row r="38" spans="1:7" ht="13.5" thickBot="1">
      <c r="A38" s="7" t="s">
        <v>345</v>
      </c>
      <c r="B38" s="7" t="s">
        <v>1684</v>
      </c>
      <c r="C38" s="78" t="s">
        <v>344</v>
      </c>
      <c r="D38" s="49" t="s">
        <v>1869</v>
      </c>
      <c r="E38" s="50"/>
      <c r="F38" s="68"/>
      <c r="G38" s="42" t="s">
        <v>1984</v>
      </c>
    </row>
    <row r="39" spans="1:6" ht="13.5" thickTop="1">
      <c r="A39" s="82" t="s">
        <v>350</v>
      </c>
      <c r="D39" s="51"/>
      <c r="E39" s="51"/>
      <c r="F39" s="69"/>
    </row>
    <row r="40" spans="1:6" ht="12.75">
      <c r="A40" s="3" t="s">
        <v>1643</v>
      </c>
      <c r="B40" s="4" t="str">
        <f>VLOOKUP(A40,Insumos,2)</f>
        <v>malla Sima R92</v>
      </c>
      <c r="C40" s="6" t="str">
        <f>VLOOKUP(A40,Insumos,3)</f>
        <v>kg</v>
      </c>
      <c r="D40" s="51">
        <v>48.25</v>
      </c>
      <c r="E40" s="51">
        <f>VLOOKUP(A40,'IN-04-14'!A9:D9,4,FALSE)</f>
        <v>16.6955</v>
      </c>
      <c r="F40" s="69">
        <f>(D40*E40)</f>
        <v>805.557875</v>
      </c>
    </row>
    <row r="41" spans="1:6" ht="12.75">
      <c r="A41" s="3" t="s">
        <v>1639</v>
      </c>
      <c r="B41" s="4" t="str">
        <f>VLOOKUP(A41,Insumos,2)</f>
        <v>cemento Portland</v>
      </c>
      <c r="C41" s="6" t="str">
        <f>VLOOKUP(A41,Insumos,3)</f>
        <v>kg</v>
      </c>
      <c r="D41" s="51">
        <v>300</v>
      </c>
      <c r="E41" s="51">
        <f>VLOOKUP(A41,'IN-04-14'!A42:D916,4,FALSE)</f>
        <v>1.65</v>
      </c>
      <c r="F41" s="69">
        <f>(D41*E41)</f>
        <v>495</v>
      </c>
    </row>
    <row r="42" spans="1:6" ht="12.75">
      <c r="A42" s="3" t="s">
        <v>1640</v>
      </c>
      <c r="B42" s="4" t="str">
        <f>VLOOKUP(A42,Insumos,2)</f>
        <v>ripio zarandeado 1/3</v>
      </c>
      <c r="C42" s="6" t="str">
        <f>VLOOKUP(A42,Insumos,3)</f>
        <v>m3</v>
      </c>
      <c r="D42" s="51">
        <v>0.7</v>
      </c>
      <c r="E42" s="51">
        <f>VLOOKUP(A42,'IN-04-14'!A43:D917,4,FALSE)</f>
        <v>126.06</v>
      </c>
      <c r="F42" s="69">
        <f>(D42*E42)</f>
        <v>88.24199999999999</v>
      </c>
    </row>
    <row r="43" spans="1:6" ht="12.75">
      <c r="A43" s="232" t="s">
        <v>1641</v>
      </c>
      <c r="B43" s="4" t="str">
        <f>VLOOKUP(A43,Insumos,2)</f>
        <v>arena gruesa</v>
      </c>
      <c r="C43" s="6" t="str">
        <f>VLOOKUP(A43,Insumos,3)</f>
        <v>m3</v>
      </c>
      <c r="D43" s="51">
        <v>0.6</v>
      </c>
      <c r="E43" s="51">
        <f>VLOOKUP(A43,'IN-04-14'!A21:D61,4,FALSE)</f>
        <v>141.805</v>
      </c>
      <c r="F43" s="69">
        <f>(D43*E43)</f>
        <v>85.083</v>
      </c>
    </row>
    <row r="44" spans="1:6" ht="12.75">
      <c r="A44" s="82" t="s">
        <v>351</v>
      </c>
      <c r="D44" s="51"/>
      <c r="E44" s="51"/>
      <c r="F44" s="69"/>
    </row>
    <row r="45" spans="1:6" ht="12.75">
      <c r="A45" s="3" t="s">
        <v>1636</v>
      </c>
      <c r="B45" s="4" t="str">
        <f>VLOOKUP(A45,Insumos,2)</f>
        <v>cuadrilla tipo UOCRA</v>
      </c>
      <c r="C45" s="6" t="str">
        <f>VLOOKUP(A45,Insumos,3)</f>
        <v>h</v>
      </c>
      <c r="D45" s="51">
        <v>24.45</v>
      </c>
      <c r="E45" s="51">
        <f>VLOOKUP(A45,'IN-04-14'!A46:D920,4,FALSE)</f>
        <v>58.06</v>
      </c>
      <c r="F45" s="69">
        <f>(D45*E45)</f>
        <v>1419.567</v>
      </c>
    </row>
    <row r="46" spans="1:6" ht="12.75">
      <c r="A46" s="82" t="s">
        <v>352</v>
      </c>
      <c r="D46" s="51"/>
      <c r="E46" s="51"/>
      <c r="F46" s="69"/>
    </row>
    <row r="47" spans="1:6" ht="12.75">
      <c r="A47" s="3" t="s">
        <v>1642</v>
      </c>
      <c r="B47" s="4" t="str">
        <f>VLOOKUP(A47,Insumos,2)</f>
        <v>canasta 2 (mixer 5m3)</v>
      </c>
      <c r="C47" s="6" t="str">
        <f>VLOOKUP(A47,Insumos,3)</f>
        <v>h</v>
      </c>
      <c r="D47" s="51">
        <v>0.055</v>
      </c>
      <c r="E47" s="51">
        <f>VLOOKUP(A47,'IN-04-14'!A48:D922,4,FALSE)</f>
        <v>727.26</v>
      </c>
      <c r="F47" s="69">
        <f>(D47*E47)</f>
        <v>39.9993</v>
      </c>
    </row>
    <row r="48" spans="4:6" ht="12.75">
      <c r="D48" s="51"/>
      <c r="E48" s="51"/>
      <c r="F48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H134"/>
  <sheetViews>
    <sheetView showGridLines="0" zoomScale="90" zoomScaleNormal="90" zoomScaleSheetLayoutView="75" zoomScalePageLayoutView="0" workbookViewId="0" topLeftCell="A64">
      <selection activeCell="E89" sqref="E8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221" t="s">
        <v>15</v>
      </c>
      <c r="C2" s="77" t="str">
        <f>Fecha</f>
        <v>abr-2014</v>
      </c>
      <c r="D2" s="48"/>
      <c r="E2" s="48"/>
      <c r="F2" s="222">
        <f>SUM(F4:F13)</f>
        <v>4716.261165000001</v>
      </c>
      <c r="G2" s="41"/>
    </row>
    <row r="3" spans="1:7" ht="13.5" thickBot="1">
      <c r="A3" s="7" t="s">
        <v>345</v>
      </c>
      <c r="B3" s="7" t="s">
        <v>1685</v>
      </c>
      <c r="C3" s="78" t="s">
        <v>344</v>
      </c>
      <c r="D3" s="49" t="s">
        <v>16</v>
      </c>
      <c r="E3" s="50"/>
      <c r="F3" s="68"/>
      <c r="G3" s="42" t="s">
        <v>1984</v>
      </c>
    </row>
    <row r="4" spans="1:6" ht="13.5" thickTop="1">
      <c r="A4" s="82" t="s">
        <v>350</v>
      </c>
      <c r="D4" s="51"/>
      <c r="E4" s="51"/>
      <c r="F4" s="69"/>
    </row>
    <row r="5" spans="1:8" ht="12.75">
      <c r="A5" s="3" t="s">
        <v>1638</v>
      </c>
      <c r="B5" s="4" t="str">
        <f>VLOOKUP(A5,Insumos,2)</f>
        <v>hierro mejorado de 10 mm.</v>
      </c>
      <c r="C5" s="6" t="str">
        <f>VLOOKUP(A5,Insumos,3)</f>
        <v>kg</v>
      </c>
      <c r="D5" s="51">
        <v>165</v>
      </c>
      <c r="E5" s="51">
        <f>VLOOKUP(A5,'IN-04-14'!A6:D880,4,FALSE)</f>
        <v>9.3933</v>
      </c>
      <c r="F5" s="69">
        <f>(D5*E5)</f>
        <v>1549.8945</v>
      </c>
      <c r="H5" s="1" t="s">
        <v>1048</v>
      </c>
    </row>
    <row r="6" spans="1:6" ht="12.75">
      <c r="A6" s="3" t="s">
        <v>1639</v>
      </c>
      <c r="B6" s="4" t="str">
        <f>VLOOKUP(A6,Insumos,2)</f>
        <v>cemento Portland</v>
      </c>
      <c r="C6" s="6" t="str">
        <f>VLOOKUP(A6,Insumos,3)</f>
        <v>kg</v>
      </c>
      <c r="D6" s="51">
        <v>315</v>
      </c>
      <c r="E6" s="51">
        <f>VLOOKUP(A6,'IN-04-14'!A7:D881,4,FALSE)</f>
        <v>1.65</v>
      </c>
      <c r="F6" s="69">
        <f>(D6*E6)</f>
        <v>519.75</v>
      </c>
    </row>
    <row r="7" spans="1:6" ht="12.75">
      <c r="A7" s="3" t="s">
        <v>148</v>
      </c>
      <c r="B7" s="4" t="str">
        <f>VLOOKUP(A7,Insumos,2)</f>
        <v>madera 1" pino nacional s/cepillar</v>
      </c>
      <c r="C7" s="6" t="str">
        <f>VLOOKUP(A7,Insumos,3)</f>
        <v>m2</v>
      </c>
      <c r="D7" s="51">
        <v>2.591</v>
      </c>
      <c r="E7" s="51">
        <f>VLOOKUP(A7,'IN-04-14'!A8:D882,4,FALSE)</f>
        <v>77.815</v>
      </c>
      <c r="F7" s="69">
        <f>(D7*E7)</f>
        <v>201.61866500000002</v>
      </c>
    </row>
    <row r="8" spans="1:8" ht="12.75">
      <c r="A8" s="3" t="s">
        <v>1640</v>
      </c>
      <c r="B8" s="4" t="str">
        <f>VLOOKUP(A8,Insumos,2)</f>
        <v>ripio zarandeado 1/3</v>
      </c>
      <c r="C8" s="6" t="str">
        <f>VLOOKUP(A8,Insumos,3)</f>
        <v>m3</v>
      </c>
      <c r="D8" s="51">
        <v>0.7</v>
      </c>
      <c r="E8" s="51">
        <f>VLOOKUP(A8,'IN-04-14'!A9:D883,4,FALSE)</f>
        <v>126.06</v>
      </c>
      <c r="F8" s="69">
        <f>(D8*E8)</f>
        <v>88.24199999999999</v>
      </c>
      <c r="H8" s="1" t="s">
        <v>1048</v>
      </c>
    </row>
    <row r="9" spans="1:8" ht="12.75">
      <c r="A9" s="3" t="s">
        <v>1641</v>
      </c>
      <c r="B9" s="4" t="str">
        <f>VLOOKUP(A9,Insumos,2)</f>
        <v>arena gruesa</v>
      </c>
      <c r="C9" s="6" t="str">
        <f>VLOOKUP(A9,Insumos,3)</f>
        <v>m3</v>
      </c>
      <c r="D9" s="51">
        <v>0.6</v>
      </c>
      <c r="E9" s="51">
        <f>VLOOKUP(A9,'IN-04-14'!A10:D884,4,FALSE)</f>
        <v>141.805</v>
      </c>
      <c r="F9" s="69">
        <f>(D9*E9)</f>
        <v>85.083</v>
      </c>
      <c r="H9" s="1" t="s">
        <v>1048</v>
      </c>
    </row>
    <row r="10" spans="1:6" ht="12.75">
      <c r="A10" s="82" t="s">
        <v>351</v>
      </c>
      <c r="D10" s="51"/>
      <c r="E10" s="51"/>
      <c r="F10" s="69"/>
    </row>
    <row r="11" spans="1:6" ht="12.75">
      <c r="A11" s="3" t="s">
        <v>1636</v>
      </c>
      <c r="B11" s="4" t="str">
        <f>VLOOKUP(A11,Insumos,2)</f>
        <v>cuadrilla tipo UOCRA</v>
      </c>
      <c r="C11" s="6" t="str">
        <f>VLOOKUP(A11,Insumos,3)</f>
        <v>h</v>
      </c>
      <c r="D11" s="56">
        <v>38.5</v>
      </c>
      <c r="E11" s="51">
        <f>VLOOKUP(A11,'IN-04-14'!A12:D886,4,FALSE)</f>
        <v>58.06</v>
      </c>
      <c r="F11" s="69">
        <f>(D11*E11)</f>
        <v>2235.31</v>
      </c>
    </row>
    <row r="12" spans="1:6" ht="12.75">
      <c r="A12" s="82" t="s">
        <v>352</v>
      </c>
      <c r="D12" s="51"/>
      <c r="E12" s="51"/>
      <c r="F12" s="69"/>
    </row>
    <row r="13" spans="1:8" ht="12.75">
      <c r="A13" s="3" t="s">
        <v>1642</v>
      </c>
      <c r="B13" s="4" t="str">
        <f>VLOOKUP(A13,Insumos,2)</f>
        <v>canasta 2 (mixer 5m3)</v>
      </c>
      <c r="C13" s="6" t="str">
        <f>VLOOKUP(A13,Insumos,3)</f>
        <v>h</v>
      </c>
      <c r="D13" s="51">
        <v>0.05</v>
      </c>
      <c r="E13" s="51">
        <f>VLOOKUP(A13,'IN-04-14'!A14:D888,4,FALSE)</f>
        <v>727.26</v>
      </c>
      <c r="F13" s="69">
        <f>(D13*E13)</f>
        <v>36.363</v>
      </c>
      <c r="H13" s="1" t="s">
        <v>1048</v>
      </c>
    </row>
    <row r="14" spans="1:6" ht="12.75">
      <c r="A14" s="3"/>
      <c r="B14" s="4"/>
      <c r="C14" s="6"/>
      <c r="D14" s="51"/>
      <c r="E14" s="51"/>
      <c r="F14" s="69"/>
    </row>
    <row r="15" spans="1:6" ht="13.5" thickBot="1">
      <c r="A15" s="3"/>
      <c r="B15" s="4"/>
      <c r="C15" s="6"/>
      <c r="D15" s="51"/>
      <c r="E15" s="51"/>
      <c r="F15" s="69"/>
    </row>
    <row r="16" spans="1:7" ht="13.5" thickTop="1">
      <c r="A16" s="75" t="s">
        <v>346</v>
      </c>
      <c r="B16" s="221" t="s">
        <v>1858</v>
      </c>
      <c r="C16" s="77" t="str">
        <f>Fecha</f>
        <v>abr-2014</v>
      </c>
      <c r="D16" s="48"/>
      <c r="E16" s="48"/>
      <c r="F16" s="222">
        <f>SUM(F18:F27)</f>
        <v>4493.393365000001</v>
      </c>
      <c r="G16" s="41"/>
    </row>
    <row r="17" spans="1:7" ht="13.5" thickBot="1">
      <c r="A17" s="7" t="s">
        <v>345</v>
      </c>
      <c r="B17" s="7" t="s">
        <v>1685</v>
      </c>
      <c r="C17" s="78" t="s">
        <v>344</v>
      </c>
      <c r="D17" s="49" t="s">
        <v>1855</v>
      </c>
      <c r="E17" s="50"/>
      <c r="F17" s="68"/>
      <c r="G17" s="42" t="s">
        <v>1984</v>
      </c>
    </row>
    <row r="18" spans="1:6" ht="13.5" thickTop="1">
      <c r="A18" s="82" t="s">
        <v>350</v>
      </c>
      <c r="D18" s="51"/>
      <c r="E18" s="51"/>
      <c r="F18" s="69"/>
    </row>
    <row r="19" spans="1:6" ht="12.75">
      <c r="A19" s="3" t="s">
        <v>1638</v>
      </c>
      <c r="B19" s="4" t="str">
        <f>VLOOKUP(A19,Insumos,2)</f>
        <v>hierro mejorado de 10 mm.</v>
      </c>
      <c r="C19" s="6" t="str">
        <f>VLOOKUP(A19,Insumos,3)</f>
        <v>kg</v>
      </c>
      <c r="D19" s="51">
        <v>149</v>
      </c>
      <c r="E19" s="51">
        <f>VLOOKUP(A19,'IN-04-14'!A7:D7,4,FALSE)</f>
        <v>9.3933</v>
      </c>
      <c r="F19" s="69">
        <f>(D19*E19)</f>
        <v>1399.6017</v>
      </c>
    </row>
    <row r="20" spans="1:6" ht="12.75">
      <c r="A20" s="3" t="s">
        <v>1639</v>
      </c>
      <c r="B20" s="4" t="str">
        <f>VLOOKUP(A20,Insumos,2)</f>
        <v>cemento Portland</v>
      </c>
      <c r="C20" s="6" t="str">
        <f>VLOOKUP(A20,Insumos,3)</f>
        <v>kg</v>
      </c>
      <c r="D20" s="51">
        <v>315</v>
      </c>
      <c r="E20" s="51">
        <f>VLOOKUP(A20,'IN-04-14'!A21:D895,4,FALSE)</f>
        <v>1.65</v>
      </c>
      <c r="F20" s="69">
        <f>(D20*E20)</f>
        <v>519.75</v>
      </c>
    </row>
    <row r="21" spans="1:6" ht="12.75">
      <c r="A21" s="3" t="s">
        <v>148</v>
      </c>
      <c r="B21" s="4" t="str">
        <f>VLOOKUP(A21,Insumos,2)</f>
        <v>madera 1" pino nacional s/cepillar</v>
      </c>
      <c r="C21" s="6" t="str">
        <f>VLOOKUP(A21,Insumos,3)</f>
        <v>m2</v>
      </c>
      <c r="D21" s="51">
        <v>2.591</v>
      </c>
      <c r="E21" s="51">
        <f>VLOOKUP(A21,'IN-04-14'!A22:D896,4,FALSE)</f>
        <v>77.815</v>
      </c>
      <c r="F21" s="69">
        <f>(D21*E21)</f>
        <v>201.61866500000002</v>
      </c>
    </row>
    <row r="22" spans="1:6" ht="12.75">
      <c r="A22" s="3" t="s">
        <v>1640</v>
      </c>
      <c r="B22" s="4" t="str">
        <f>VLOOKUP(A22,Insumos,2)</f>
        <v>ripio zarandeado 1/3</v>
      </c>
      <c r="C22" s="6" t="str">
        <f>VLOOKUP(A22,Insumos,3)</f>
        <v>m3</v>
      </c>
      <c r="D22" s="51">
        <v>0.7</v>
      </c>
      <c r="E22" s="51">
        <f>VLOOKUP(A22,'IN-04-14'!A23:D897,4,FALSE)</f>
        <v>126.06</v>
      </c>
      <c r="F22" s="69">
        <f>(D22*E22)</f>
        <v>88.24199999999999</v>
      </c>
    </row>
    <row r="23" spans="1:6" ht="12.75">
      <c r="A23" s="3" t="s">
        <v>1641</v>
      </c>
      <c r="B23" s="4" t="str">
        <f>VLOOKUP(A23,Insumos,2)</f>
        <v>arena gruesa</v>
      </c>
      <c r="C23" s="6" t="str">
        <f>VLOOKUP(A23,Insumos,3)</f>
        <v>m3</v>
      </c>
      <c r="D23" s="51">
        <v>0.6</v>
      </c>
      <c r="E23" s="51">
        <f>VLOOKUP(A23,'IN-04-14'!A24:D898,4,FALSE)</f>
        <v>141.805</v>
      </c>
      <c r="F23" s="69">
        <f>(D23*E23)</f>
        <v>85.083</v>
      </c>
    </row>
    <row r="24" spans="1:6" ht="12.75">
      <c r="A24" s="82" t="s">
        <v>351</v>
      </c>
      <c r="D24" s="51"/>
      <c r="E24" s="51"/>
      <c r="F24" s="69"/>
    </row>
    <row r="25" spans="1:6" ht="12.75">
      <c r="A25" s="3" t="s">
        <v>1636</v>
      </c>
      <c r="B25" s="4" t="str">
        <f>VLOOKUP(A25,Insumos,2)</f>
        <v>cuadrilla tipo UOCRA</v>
      </c>
      <c r="C25" s="6" t="str">
        <f>VLOOKUP(A25,Insumos,3)</f>
        <v>h</v>
      </c>
      <c r="D25" s="64">
        <v>37.25</v>
      </c>
      <c r="E25" s="51">
        <f>VLOOKUP(A25,'IN-04-14'!A26:D900,4,FALSE)</f>
        <v>58.06</v>
      </c>
      <c r="F25" s="69">
        <f>(D25*E25)</f>
        <v>2162.735</v>
      </c>
    </row>
    <row r="26" spans="1:6" ht="12.75">
      <c r="A26" s="82" t="s">
        <v>352</v>
      </c>
      <c r="D26" s="51"/>
      <c r="E26" s="51"/>
      <c r="F26" s="69"/>
    </row>
    <row r="27" spans="1:6" ht="12.75">
      <c r="A27" s="3" t="s">
        <v>1642</v>
      </c>
      <c r="B27" s="4" t="str">
        <f>VLOOKUP(A27,Insumos,2)</f>
        <v>canasta 2 (mixer 5m3)</v>
      </c>
      <c r="C27" s="6" t="str">
        <f>VLOOKUP(A27,Insumos,3)</f>
        <v>h</v>
      </c>
      <c r="D27" s="51">
        <v>0.05</v>
      </c>
      <c r="E27" s="51">
        <f>VLOOKUP(A27,'IN-04-14'!A28:D902,4,FALSE)</f>
        <v>727.26</v>
      </c>
      <c r="F27" s="69">
        <f>(D27*E27)</f>
        <v>36.363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346</v>
      </c>
      <c r="B29" s="221" t="s">
        <v>15</v>
      </c>
      <c r="C29" s="77" t="str">
        <f>Fecha</f>
        <v>abr-2014</v>
      </c>
      <c r="D29" s="48"/>
      <c r="E29" s="48"/>
      <c r="F29" s="222">
        <f>SUM(F31:F40)</f>
        <v>4295.27633</v>
      </c>
      <c r="G29" s="41"/>
    </row>
    <row r="30" spans="1:7" ht="13.5" thickBot="1">
      <c r="A30" s="7" t="s">
        <v>345</v>
      </c>
      <c r="B30" s="7" t="s">
        <v>1685</v>
      </c>
      <c r="C30" s="78" t="s">
        <v>344</v>
      </c>
      <c r="D30" s="49" t="s">
        <v>1854</v>
      </c>
      <c r="E30" s="50"/>
      <c r="F30" s="68"/>
      <c r="G30" s="42" t="s">
        <v>1984</v>
      </c>
    </row>
    <row r="31" spans="1:6" ht="13.5" thickTop="1">
      <c r="A31" s="82" t="s">
        <v>350</v>
      </c>
      <c r="D31" s="51"/>
      <c r="E31" s="51"/>
      <c r="F31" s="69"/>
    </row>
    <row r="32" spans="1:6" ht="12.75">
      <c r="A32" s="3" t="s">
        <v>1638</v>
      </c>
      <c r="B32" s="4" t="str">
        <f>VLOOKUP(A32,Insumos,2)</f>
        <v>hierro mejorado de 10 mm.</v>
      </c>
      <c r="C32" s="6" t="str">
        <f>VLOOKUP(A32,Insumos,3)</f>
        <v>kg</v>
      </c>
      <c r="D32" s="51">
        <v>132</v>
      </c>
      <c r="E32" s="51">
        <f>VLOOKUP(A32,'IN-04-14'!A7:D7,4,FALSE)</f>
        <v>9.3933</v>
      </c>
      <c r="F32" s="69">
        <f>(D32*E32)</f>
        <v>1239.9156</v>
      </c>
    </row>
    <row r="33" spans="1:6" ht="12.75">
      <c r="A33" s="3" t="s">
        <v>1639</v>
      </c>
      <c r="B33" s="4" t="str">
        <f>VLOOKUP(A33,Insumos,2)</f>
        <v>cemento Portland</v>
      </c>
      <c r="C33" s="6" t="str">
        <f>VLOOKUP(A33,Insumos,3)</f>
        <v>kg</v>
      </c>
      <c r="D33" s="51">
        <v>310</v>
      </c>
      <c r="E33" s="51">
        <f>VLOOKUP(A33,'IN-04-14'!A34:D908,4,FALSE)</f>
        <v>1.65</v>
      </c>
      <c r="F33" s="69">
        <f>(D33*E33)</f>
        <v>511.5</v>
      </c>
    </row>
    <row r="34" spans="1:6" ht="12.75">
      <c r="A34" s="3" t="s">
        <v>148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1.942</v>
      </c>
      <c r="E34" s="51">
        <f>VLOOKUP(A34,'IN-04-14'!A35:D909,4,FALSE)</f>
        <v>77.815</v>
      </c>
      <c r="F34" s="69">
        <f>(D34*E34)</f>
        <v>151.11673</v>
      </c>
    </row>
    <row r="35" spans="1:6" ht="12.75">
      <c r="A35" s="3" t="s">
        <v>1640</v>
      </c>
      <c r="B35" s="4" t="str">
        <f>VLOOKUP(A35,Insumos,2)</f>
        <v>ripio zarandeado 1/3</v>
      </c>
      <c r="C35" s="6" t="str">
        <f>VLOOKUP(A35,Insumos,3)</f>
        <v>m3</v>
      </c>
      <c r="D35" s="51">
        <v>0.7</v>
      </c>
      <c r="E35" s="51">
        <f>VLOOKUP(A35,'IN-04-14'!A36:D910,4,FALSE)</f>
        <v>126.06</v>
      </c>
      <c r="F35" s="69">
        <f>(D35*E35)</f>
        <v>88.24199999999999</v>
      </c>
    </row>
    <row r="36" spans="1:6" ht="12.75">
      <c r="A36" s="3" t="s">
        <v>1641</v>
      </c>
      <c r="B36" s="4" t="str">
        <f>VLOOKUP(A36,Insumos,2)</f>
        <v>arena gruesa</v>
      </c>
      <c r="C36" s="6" t="str">
        <f>VLOOKUP(A36,Insumos,3)</f>
        <v>m3</v>
      </c>
      <c r="D36" s="51">
        <v>0.6</v>
      </c>
      <c r="E36" s="51">
        <f>VLOOKUP(A36,'IN-04-14'!A37:D911,4,FALSE)</f>
        <v>141.805</v>
      </c>
      <c r="F36" s="69">
        <f>(D36*E36)</f>
        <v>85.083</v>
      </c>
    </row>
    <row r="37" spans="1:6" ht="12.75">
      <c r="A37" s="82" t="s">
        <v>351</v>
      </c>
      <c r="D37" s="51"/>
      <c r="E37" s="51"/>
      <c r="F37" s="69"/>
    </row>
    <row r="38" spans="1:6" ht="12.75">
      <c r="A38" s="3" t="s">
        <v>1636</v>
      </c>
      <c r="B38" s="4" t="str">
        <f>VLOOKUP(A38,Insumos,2)</f>
        <v>cuadrilla tipo UOCRA</v>
      </c>
      <c r="C38" s="6" t="str">
        <f>VLOOKUP(A38,Insumos,3)</f>
        <v>h</v>
      </c>
      <c r="D38" s="51">
        <v>37.6</v>
      </c>
      <c r="E38" s="51">
        <f>VLOOKUP(A38,'IN-04-14'!A39:D913,4,FALSE)</f>
        <v>58.06</v>
      </c>
      <c r="F38" s="69">
        <f>(D38*E38)</f>
        <v>2183.056</v>
      </c>
    </row>
    <row r="39" spans="1:6" ht="12.75">
      <c r="A39" s="82" t="s">
        <v>352</v>
      </c>
      <c r="D39" s="51"/>
      <c r="E39" s="51"/>
      <c r="F39" s="69"/>
    </row>
    <row r="40" spans="1:6" ht="12.75">
      <c r="A40" s="3" t="s">
        <v>1642</v>
      </c>
      <c r="B40" s="4" t="str">
        <f>VLOOKUP(A40,Insumos,2)</f>
        <v>canasta 2 (mixer 5m3)</v>
      </c>
      <c r="C40" s="6" t="str">
        <f>VLOOKUP(A40,Insumos,3)</f>
        <v>h</v>
      </c>
      <c r="D40" s="51">
        <v>0.05</v>
      </c>
      <c r="E40" s="51">
        <f>VLOOKUP(A40,'IN-04-14'!A41:D915,4,FALSE)</f>
        <v>727.26</v>
      </c>
      <c r="F40" s="69">
        <f>(D40*E40)</f>
        <v>36.363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346</v>
      </c>
      <c r="B42" s="221" t="s">
        <v>15</v>
      </c>
      <c r="C42" s="77" t="str">
        <f>Fecha</f>
        <v>abr-2014</v>
      </c>
      <c r="D42" s="48"/>
      <c r="E42" s="48"/>
      <c r="F42" s="222">
        <f>SUM(F44:F53)</f>
        <v>4640.2432</v>
      </c>
      <c r="G42" s="41"/>
    </row>
    <row r="43" spans="1:7" ht="13.5" thickBot="1">
      <c r="A43" s="7" t="s">
        <v>345</v>
      </c>
      <c r="B43" s="7" t="s">
        <v>1685</v>
      </c>
      <c r="C43" s="78" t="s">
        <v>344</v>
      </c>
      <c r="D43" s="49" t="s">
        <v>1860</v>
      </c>
      <c r="E43" s="50"/>
      <c r="F43" s="68"/>
      <c r="G43" s="42" t="s">
        <v>1984</v>
      </c>
    </row>
    <row r="44" spans="1:6" ht="13.5" thickTop="1">
      <c r="A44" s="82" t="s">
        <v>350</v>
      </c>
      <c r="D44" s="51"/>
      <c r="E44" s="51"/>
      <c r="F44" s="69"/>
    </row>
    <row r="45" spans="1:6" ht="12.75">
      <c r="A45" s="3" t="s">
        <v>1638</v>
      </c>
      <c r="B45" s="4" t="str">
        <f>VLOOKUP(A45,Insumos,2)</f>
        <v>hierro mejorado de 10 mm.</v>
      </c>
      <c r="C45" s="6" t="str">
        <f>VLOOKUP(A45,Insumos,3)</f>
        <v>kg</v>
      </c>
      <c r="D45" s="51">
        <v>134</v>
      </c>
      <c r="E45" s="51">
        <f>VLOOKUP(A45,'IN-04-14'!A7:D7,4,FALSE)</f>
        <v>9.3933</v>
      </c>
      <c r="F45" s="69">
        <f>(D45*E45)</f>
        <v>1258.7022</v>
      </c>
    </row>
    <row r="46" spans="1:6" ht="12.75">
      <c r="A46" s="3" t="s">
        <v>1639</v>
      </c>
      <c r="B46" s="4" t="str">
        <f>VLOOKUP(A46,Insumos,2)</f>
        <v>cemento Portland</v>
      </c>
      <c r="C46" s="6" t="str">
        <f>VLOOKUP(A46,Insumos,3)</f>
        <v>kg</v>
      </c>
      <c r="D46" s="51">
        <v>310</v>
      </c>
      <c r="E46" s="51">
        <f>VLOOKUP(A46,'IN-04-14'!A47:D921,4,FALSE)</f>
        <v>1.65</v>
      </c>
      <c r="F46" s="69">
        <f>(D46*E46)</f>
        <v>511.5</v>
      </c>
    </row>
    <row r="47" spans="1:6" ht="12.75">
      <c r="A47" s="3" t="s">
        <v>148</v>
      </c>
      <c r="B47" s="4" t="str">
        <f>VLOOKUP(A47,Insumos,2)</f>
        <v>madera 1" pino nacional s/cepillar</v>
      </c>
      <c r="C47" s="6" t="str">
        <f>VLOOKUP(A47,Insumos,3)</f>
        <v>m2</v>
      </c>
      <c r="D47" s="51">
        <v>3</v>
      </c>
      <c r="E47" s="51">
        <f>VLOOKUP(A47,'IN-04-14'!A48:D922,4,FALSE)</f>
        <v>77.815</v>
      </c>
      <c r="F47" s="69">
        <f>(D47*E47)</f>
        <v>233.445</v>
      </c>
    </row>
    <row r="48" spans="1:6" ht="12.75">
      <c r="A48" s="3" t="s">
        <v>1640</v>
      </c>
      <c r="B48" s="4" t="str">
        <f>VLOOKUP(A48,Insumos,2)</f>
        <v>ripio zarandeado 1/3</v>
      </c>
      <c r="C48" s="6" t="str">
        <f>VLOOKUP(A48,Insumos,3)</f>
        <v>m3</v>
      </c>
      <c r="D48" s="51">
        <v>0.7</v>
      </c>
      <c r="E48" s="51">
        <f>VLOOKUP(A48,'IN-04-14'!A44:D44,4,FALSE)</f>
        <v>126.06</v>
      </c>
      <c r="F48" s="69">
        <f>(D48*E48)</f>
        <v>88.24199999999999</v>
      </c>
    </row>
    <row r="49" spans="1:6" ht="12.75">
      <c r="A49" s="3" t="s">
        <v>1641</v>
      </c>
      <c r="B49" s="4" t="str">
        <f>VLOOKUP(A49,Insumos,2)</f>
        <v>arena gruesa</v>
      </c>
      <c r="C49" s="6" t="str">
        <f>VLOOKUP(A49,Insumos,3)</f>
        <v>m3</v>
      </c>
      <c r="D49" s="51">
        <v>0.6</v>
      </c>
      <c r="E49" s="51">
        <f>VLOOKUP(A49,'IN-04-14'!A42:D42,4,FALSE)</f>
        <v>141.805</v>
      </c>
      <c r="F49" s="69">
        <f>(D49*E49)</f>
        <v>85.083</v>
      </c>
    </row>
    <row r="50" spans="1:6" ht="12.75">
      <c r="A50" s="82" t="s">
        <v>351</v>
      </c>
      <c r="D50" s="51"/>
      <c r="E50" s="51"/>
      <c r="F50" s="69"/>
    </row>
    <row r="51" spans="1:6" ht="12.75">
      <c r="A51" s="3" t="s">
        <v>1636</v>
      </c>
      <c r="B51" s="4" t="str">
        <f>VLOOKUP(A51,Insumos,2)</f>
        <v>cuadrilla tipo UOCRA</v>
      </c>
      <c r="C51" s="6" t="str">
        <f>VLOOKUP(A51,Insumos,3)</f>
        <v>h</v>
      </c>
      <c r="D51" s="64">
        <v>41.8</v>
      </c>
      <c r="E51" s="51">
        <f>VLOOKUP(A51,'IN-04-14'!A52:D926,4,FALSE)</f>
        <v>58.06</v>
      </c>
      <c r="F51" s="69">
        <f>(D51*E51)</f>
        <v>2426.908</v>
      </c>
    </row>
    <row r="52" spans="1:6" ht="12.75">
      <c r="A52" s="82" t="s">
        <v>352</v>
      </c>
      <c r="D52" s="51"/>
      <c r="E52" s="51"/>
      <c r="F52" s="69"/>
    </row>
    <row r="53" spans="1:6" ht="12.75">
      <c r="A53" s="3" t="s">
        <v>1642</v>
      </c>
      <c r="B53" s="4" t="str">
        <f>VLOOKUP(A53,Insumos,2)</f>
        <v>canasta 2 (mixer 5m3)</v>
      </c>
      <c r="C53" s="6" t="str">
        <f>VLOOKUP(A53,Insumos,3)</f>
        <v>h</v>
      </c>
      <c r="D53" s="51">
        <v>0.05</v>
      </c>
      <c r="E53" s="51">
        <f>VLOOKUP(A53,'IN-04-14'!A54:D928,4,FALSE)</f>
        <v>727.26</v>
      </c>
      <c r="F53" s="69">
        <f>(D53*E53)</f>
        <v>36.363</v>
      </c>
    </row>
    <row r="54" spans="1:6" ht="13.5" thickBot="1">
      <c r="A54" s="3"/>
      <c r="B54" s="4"/>
      <c r="C54" s="6"/>
      <c r="D54" s="51"/>
      <c r="E54" s="51"/>
      <c r="F54" s="69"/>
    </row>
    <row r="55" spans="1:7" ht="13.5" thickTop="1">
      <c r="A55" s="75" t="s">
        <v>346</v>
      </c>
      <c r="B55" s="221" t="s">
        <v>15</v>
      </c>
      <c r="C55" s="77" t="str">
        <f>Fecha</f>
        <v>abr-2014</v>
      </c>
      <c r="D55" s="48"/>
      <c r="E55" s="48"/>
      <c r="F55" s="222">
        <f>SUM(F57:F66)</f>
        <v>3481.0681388999997</v>
      </c>
      <c r="G55" s="41"/>
    </row>
    <row r="56" spans="1:7" ht="13.5" thickBot="1">
      <c r="A56" s="7" t="s">
        <v>345</v>
      </c>
      <c r="B56" s="7" t="s">
        <v>1685</v>
      </c>
      <c r="C56" s="78" t="s">
        <v>344</v>
      </c>
      <c r="D56" s="49" t="s">
        <v>1863</v>
      </c>
      <c r="E56" s="50"/>
      <c r="F56" s="68"/>
      <c r="G56" s="42" t="s">
        <v>1984</v>
      </c>
    </row>
    <row r="57" spans="1:6" ht="13.5" thickTop="1">
      <c r="A57" s="82" t="s">
        <v>350</v>
      </c>
      <c r="D57" s="51"/>
      <c r="E57" s="51"/>
      <c r="F57" s="69"/>
    </row>
    <row r="58" spans="1:6" ht="12.75">
      <c r="A58" s="3" t="s">
        <v>1638</v>
      </c>
      <c r="B58" s="4" t="str">
        <f>VLOOKUP(A58,Insumos,2)</f>
        <v>hierro mejorado de 10 mm.</v>
      </c>
      <c r="C58" s="6" t="str">
        <f>VLOOKUP(A58,Insumos,3)</f>
        <v>kg</v>
      </c>
      <c r="D58" s="51">
        <v>78.733</v>
      </c>
      <c r="E58" s="51">
        <f>VLOOKUP(A58,'IN-04-14'!A7:D7,4,FALSE)</f>
        <v>9.3933</v>
      </c>
      <c r="F58" s="69">
        <f>(D58*E58)</f>
        <v>739.5626889</v>
      </c>
    </row>
    <row r="59" spans="1:6" ht="12.75">
      <c r="A59" s="3" t="s">
        <v>1639</v>
      </c>
      <c r="B59" s="4" t="str">
        <f>VLOOKUP(A59,Insumos,2)</f>
        <v>cemento Portland</v>
      </c>
      <c r="C59" s="6" t="str">
        <f>VLOOKUP(A59,Insumos,3)</f>
        <v>kg</v>
      </c>
      <c r="D59" s="51">
        <v>310</v>
      </c>
      <c r="E59" s="51">
        <f>VLOOKUP(A59,'IN-04-14'!A60:D934,4,FALSE)</f>
        <v>1.65</v>
      </c>
      <c r="F59" s="69">
        <f>(D59*E59)</f>
        <v>511.5</v>
      </c>
    </row>
    <row r="60" spans="1:6" ht="12.75">
      <c r="A60" s="3" t="s">
        <v>148</v>
      </c>
      <c r="B60" s="4" t="str">
        <f>VLOOKUP(A60,Insumos,2)</f>
        <v>madera 1" pino nacional s/cepillar</v>
      </c>
      <c r="C60" s="6" t="str">
        <f>VLOOKUP(A60,Insumos,3)</f>
        <v>m2</v>
      </c>
      <c r="D60" s="51">
        <v>3.43</v>
      </c>
      <c r="E60" s="51">
        <f>VLOOKUP(A60,'IN-04-14'!A61:D935,4,FALSE)</f>
        <v>77.815</v>
      </c>
      <c r="F60" s="69">
        <f>(D60*E60)</f>
        <v>266.90545000000003</v>
      </c>
    </row>
    <row r="61" spans="1:6" ht="12.75">
      <c r="A61" s="3" t="s">
        <v>1640</v>
      </c>
      <c r="B61" s="4" t="str">
        <f>VLOOKUP(A61,Insumos,2)</f>
        <v>ripio zarandeado 1/3</v>
      </c>
      <c r="C61" s="6" t="str">
        <f>VLOOKUP(A61,Insumos,3)</f>
        <v>m3</v>
      </c>
      <c r="D61" s="51">
        <v>0.7</v>
      </c>
      <c r="E61" s="51">
        <f>VLOOKUP(A61,'IN-04-14'!A44:D44,4,FALSE)</f>
        <v>126.06</v>
      </c>
      <c r="F61" s="69">
        <f>(D61*E61)</f>
        <v>88.24199999999999</v>
      </c>
    </row>
    <row r="62" spans="1:6" ht="12.75">
      <c r="A62" s="3" t="s">
        <v>1641</v>
      </c>
      <c r="B62" s="4" t="str">
        <f>VLOOKUP(A62,Insumos,2)</f>
        <v>arena gruesa</v>
      </c>
      <c r="C62" s="6" t="str">
        <f>VLOOKUP(A62,Insumos,3)</f>
        <v>m3</v>
      </c>
      <c r="D62" s="51">
        <v>0.6</v>
      </c>
      <c r="E62" s="51">
        <f>VLOOKUP(A62,'IN-04-14'!A42:D42,4,FALSE)</f>
        <v>141.805</v>
      </c>
      <c r="F62" s="69">
        <f>(D62*E62)</f>
        <v>85.083</v>
      </c>
    </row>
    <row r="63" spans="1:6" ht="12.75">
      <c r="A63" s="82" t="s">
        <v>351</v>
      </c>
      <c r="D63" s="51"/>
      <c r="E63" s="51"/>
      <c r="F63" s="69"/>
    </row>
    <row r="64" spans="1:6" ht="12.75">
      <c r="A64" s="3" t="s">
        <v>1636</v>
      </c>
      <c r="B64" s="4" t="str">
        <f>VLOOKUP(A64,Insumos,2)</f>
        <v>cuadrilla tipo UOCRA</v>
      </c>
      <c r="C64" s="6" t="str">
        <f>VLOOKUP(A64,Insumos,3)</f>
        <v>h</v>
      </c>
      <c r="D64" s="64">
        <v>30.2</v>
      </c>
      <c r="E64" s="51">
        <f>VLOOKUP(A64,'IN-04-14'!A65:D939,4,FALSE)</f>
        <v>58.06</v>
      </c>
      <c r="F64" s="69">
        <f>(D64*E64)</f>
        <v>1753.412</v>
      </c>
    </row>
    <row r="65" spans="1:6" ht="12.75">
      <c r="A65" s="82" t="s">
        <v>352</v>
      </c>
      <c r="D65" s="51"/>
      <c r="E65" s="51"/>
      <c r="F65" s="69"/>
    </row>
    <row r="66" spans="1:6" ht="12.75">
      <c r="A66" s="3" t="s">
        <v>1642</v>
      </c>
      <c r="B66" s="4" t="str">
        <f>VLOOKUP(A66,Insumos,2)</f>
        <v>canasta 2 (mixer 5m3)</v>
      </c>
      <c r="C66" s="6" t="str">
        <f>VLOOKUP(A66,Insumos,3)</f>
        <v>h</v>
      </c>
      <c r="D66" s="51">
        <v>0.05</v>
      </c>
      <c r="E66" s="51">
        <f>VLOOKUP(A66,'IN-04-14'!A67:D941,4,FALSE)</f>
        <v>727.26</v>
      </c>
      <c r="F66" s="69">
        <f>(D66*E66)</f>
        <v>36.363</v>
      </c>
    </row>
    <row r="67" spans="1:6" ht="13.5" thickBot="1">
      <c r="A67" s="3"/>
      <c r="B67" s="4"/>
      <c r="C67" s="6"/>
      <c r="D67" s="51"/>
      <c r="E67" s="51"/>
      <c r="F67" s="69"/>
    </row>
    <row r="68" spans="1:7" ht="13.5" thickTop="1">
      <c r="A68" s="75" t="s">
        <v>346</v>
      </c>
      <c r="B68" s="221" t="s">
        <v>15</v>
      </c>
      <c r="C68" s="77" t="str">
        <f>Fecha</f>
        <v>abr-2014</v>
      </c>
      <c r="D68" s="48"/>
      <c r="E68" s="48"/>
      <c r="F68" s="222">
        <f>SUM(F70:F79)</f>
        <v>528.8926250000002</v>
      </c>
      <c r="G68" s="41"/>
    </row>
    <row r="69" spans="1:7" ht="13.5" thickBot="1">
      <c r="A69" s="7" t="s">
        <v>345</v>
      </c>
      <c r="B69" s="7" t="s">
        <v>1685</v>
      </c>
      <c r="C69" s="78" t="s">
        <v>344</v>
      </c>
      <c r="D69" s="49" t="s">
        <v>1865</v>
      </c>
      <c r="E69" s="50"/>
      <c r="F69" s="68"/>
      <c r="G69" s="42" t="s">
        <v>1937</v>
      </c>
    </row>
    <row r="70" spans="1:6" ht="13.5" thickTop="1">
      <c r="A70" s="82" t="s">
        <v>350</v>
      </c>
      <c r="D70" s="51"/>
      <c r="E70" s="51"/>
      <c r="F70" s="69"/>
    </row>
    <row r="71" spans="1:6" ht="12.75">
      <c r="A71" s="2" t="s">
        <v>1643</v>
      </c>
      <c r="B71" s="4" t="str">
        <f aca="true" t="shared" si="0" ref="B71:B77">VLOOKUP(A71,Insumos,2)</f>
        <v>malla Sima R92</v>
      </c>
      <c r="C71" s="6" t="str">
        <f aca="true" t="shared" si="1" ref="C71:C77">VLOOKUP(A71,Insumos,3)</f>
        <v>kg</v>
      </c>
      <c r="D71" s="51">
        <v>1.28</v>
      </c>
      <c r="E71" s="51">
        <f>VLOOKUP(A71,'IN-04-14'!A9:D9,4,FALSE)</f>
        <v>16.6955</v>
      </c>
      <c r="F71" s="69">
        <f aca="true" t="shared" si="2" ref="F71:F77">(D71*E71)</f>
        <v>21.37024</v>
      </c>
    </row>
    <row r="72" spans="1:6" ht="12.75">
      <c r="A72" s="2" t="s">
        <v>1658</v>
      </c>
      <c r="B72" s="4" t="str">
        <f t="shared" si="0"/>
        <v>bovedilla cerámica para viguetas 12,5x40x25</v>
      </c>
      <c r="C72" s="6" t="str">
        <f t="shared" si="1"/>
        <v>u</v>
      </c>
      <c r="D72" s="51">
        <v>8</v>
      </c>
      <c r="E72" s="51">
        <f>VLOOKUP(A72,'IN-04-14'!A73:D947,4,FALSE)</f>
        <v>7.88</v>
      </c>
      <c r="F72" s="69">
        <f t="shared" si="2"/>
        <v>63.04</v>
      </c>
    </row>
    <row r="73" spans="1:6" ht="12.75">
      <c r="A73" s="2" t="s">
        <v>1659</v>
      </c>
      <c r="B73" s="4" t="str">
        <f t="shared" si="0"/>
        <v>viguetas pretensadas 3.90 m.</v>
      </c>
      <c r="C73" s="6" t="str">
        <f t="shared" si="1"/>
        <v>m</v>
      </c>
      <c r="D73" s="51">
        <v>2.1</v>
      </c>
      <c r="E73" s="51">
        <f>VLOOKUP(A73,'IN-04-14'!A55:D55,4,FALSE)</f>
        <v>35.5616</v>
      </c>
      <c r="F73" s="69">
        <f t="shared" si="2"/>
        <v>74.67936</v>
      </c>
    </row>
    <row r="74" spans="1:6" ht="12.75">
      <c r="A74" s="3" t="s">
        <v>1639</v>
      </c>
      <c r="B74" s="4" t="str">
        <f t="shared" si="0"/>
        <v>cemento Portland</v>
      </c>
      <c r="C74" s="6" t="str">
        <f t="shared" si="1"/>
        <v>kg</v>
      </c>
      <c r="D74" s="51">
        <v>20</v>
      </c>
      <c r="E74" s="51">
        <f>VLOOKUP(A74,'IN-04-14'!A75:D949,4,FALSE)</f>
        <v>1.65</v>
      </c>
      <c r="F74" s="69">
        <f t="shared" si="2"/>
        <v>33</v>
      </c>
    </row>
    <row r="75" spans="1:6" ht="12.75">
      <c r="A75" s="3" t="s">
        <v>148</v>
      </c>
      <c r="B75" s="4" t="str">
        <f t="shared" si="0"/>
        <v>madera 1" pino nacional s/cepillar</v>
      </c>
      <c r="C75" s="6" t="str">
        <f t="shared" si="1"/>
        <v>m2</v>
      </c>
      <c r="D75" s="51">
        <v>0.872</v>
      </c>
      <c r="E75" s="51">
        <f>VLOOKUP(A75,'IN-04-14'!A76:D950,4,FALSE)</f>
        <v>77.815</v>
      </c>
      <c r="F75" s="69">
        <f t="shared" si="2"/>
        <v>67.85468</v>
      </c>
    </row>
    <row r="76" spans="1:6" ht="12.75">
      <c r="A76" s="3" t="s">
        <v>1640</v>
      </c>
      <c r="B76" s="4" t="str">
        <f t="shared" si="0"/>
        <v>ripio zarandeado 1/3</v>
      </c>
      <c r="C76" s="6" t="str">
        <f t="shared" si="1"/>
        <v>m3</v>
      </c>
      <c r="D76" s="51">
        <v>0.033</v>
      </c>
      <c r="E76" s="51">
        <f>VLOOKUP(A76,'IN-04-14'!A44:D44,4,FALSE)</f>
        <v>126.06</v>
      </c>
      <c r="F76" s="69">
        <f t="shared" si="2"/>
        <v>4.15998</v>
      </c>
    </row>
    <row r="77" spans="1:6" ht="12.75">
      <c r="A77" s="3" t="s">
        <v>1641</v>
      </c>
      <c r="B77" s="4" t="str">
        <f t="shared" si="0"/>
        <v>arena gruesa</v>
      </c>
      <c r="C77" s="6" t="str">
        <f t="shared" si="1"/>
        <v>m3</v>
      </c>
      <c r="D77" s="51">
        <v>0.033</v>
      </c>
      <c r="E77" s="51">
        <f>VLOOKUP(A77,'IN-04-14'!A42:D42,4,FALSE)</f>
        <v>141.805</v>
      </c>
      <c r="F77" s="69">
        <f t="shared" si="2"/>
        <v>4.679565</v>
      </c>
    </row>
    <row r="78" spans="1:6" ht="12.75">
      <c r="A78" s="82" t="s">
        <v>351</v>
      </c>
      <c r="D78" s="51"/>
      <c r="E78" s="51"/>
      <c r="F78" s="69"/>
    </row>
    <row r="79" spans="1:6" ht="12.75">
      <c r="A79" s="3" t="s">
        <v>1636</v>
      </c>
      <c r="B79" s="4" t="str">
        <f>VLOOKUP(A79,Insumos,2)</f>
        <v>cuadrilla tipo UOCRA</v>
      </c>
      <c r="C79" s="6" t="str">
        <f>VLOOKUP(A79,Insumos,3)</f>
        <v>h</v>
      </c>
      <c r="D79" s="64">
        <v>4.48</v>
      </c>
      <c r="E79" s="51">
        <f>VLOOKUP(A79,'IN-04-14'!A80:D954,4,FALSE)</f>
        <v>58.06</v>
      </c>
      <c r="F79" s="69">
        <f>(D79*E79)</f>
        <v>260.10880000000003</v>
      </c>
    </row>
    <row r="80" spans="1:6" ht="12.75">
      <c r="A80" s="82" t="s">
        <v>352</v>
      </c>
      <c r="D80" s="51"/>
      <c r="E80" s="51"/>
      <c r="F80" s="69"/>
    </row>
    <row r="81" spans="1:6" ht="12.75">
      <c r="A81" s="3" t="s">
        <v>1642</v>
      </c>
      <c r="B81" s="4" t="str">
        <f>VLOOKUP(A81,Insumos,2)</f>
        <v>canasta 2 (mixer 5m3)</v>
      </c>
      <c r="C81" s="6" t="str">
        <f>VLOOKUP(A81,Insumos,3)</f>
        <v>h</v>
      </c>
      <c r="D81" s="51">
        <v>0.005</v>
      </c>
      <c r="E81" s="51">
        <f>VLOOKUP(A81,'IN-04-14'!A82:D956,4,FALSE)</f>
        <v>727.26</v>
      </c>
      <c r="F81" s="69">
        <f>(D81*E81)</f>
        <v>3.6363</v>
      </c>
    </row>
    <row r="82" spans="4:6" ht="13.5" thickBot="1">
      <c r="D82" s="51"/>
      <c r="E82" s="51"/>
      <c r="F82" s="69"/>
    </row>
    <row r="83" spans="1:7" ht="13.5" thickTop="1">
      <c r="A83" s="75" t="s">
        <v>346</v>
      </c>
      <c r="B83" s="221" t="s">
        <v>15</v>
      </c>
      <c r="C83" s="77" t="str">
        <f>Fecha</f>
        <v>abr-2014</v>
      </c>
      <c r="D83" s="48"/>
      <c r="E83" s="48"/>
      <c r="F83" s="222">
        <f>SUM(F85:F95)</f>
        <v>3526.434002</v>
      </c>
      <c r="G83" s="41"/>
    </row>
    <row r="84" spans="1:7" ht="13.5" thickBot="1">
      <c r="A84" s="7" t="s">
        <v>345</v>
      </c>
      <c r="B84" s="7" t="s">
        <v>1685</v>
      </c>
      <c r="C84" s="78" t="s">
        <v>344</v>
      </c>
      <c r="D84" s="49" t="s">
        <v>1891</v>
      </c>
      <c r="E84" s="50"/>
      <c r="F84" s="68"/>
      <c r="G84" s="42" t="s">
        <v>1984</v>
      </c>
    </row>
    <row r="85" spans="1:6" ht="13.5" thickTop="1">
      <c r="A85" s="82" t="s">
        <v>350</v>
      </c>
      <c r="D85" s="51"/>
      <c r="E85" s="51"/>
      <c r="F85" s="69"/>
    </row>
    <row r="86" spans="1:6" ht="12.75">
      <c r="A86" s="3" t="s">
        <v>1638</v>
      </c>
      <c r="B86" s="4" t="str">
        <f aca="true" t="shared" si="3" ref="B86:B91">VLOOKUP(A86,Insumos,2)</f>
        <v>hierro mejorado de 10 mm.</v>
      </c>
      <c r="C86" s="6" t="str">
        <f aca="true" t="shared" si="4" ref="C86:C91">VLOOKUP(A86,Insumos,3)</f>
        <v>kg</v>
      </c>
      <c r="D86" s="51">
        <v>14.94</v>
      </c>
      <c r="E86" s="51">
        <f>VLOOKUP(A86,'IN-04-14'!A7:D7,4,FALSE)</f>
        <v>9.3933</v>
      </c>
      <c r="F86" s="69">
        <f aca="true" t="shared" si="5" ref="F86:F91">(D86*E86)</f>
        <v>140.335902</v>
      </c>
    </row>
    <row r="87" spans="1:6" ht="12.75">
      <c r="A87" s="3" t="s">
        <v>1643</v>
      </c>
      <c r="B87" s="4" t="str">
        <f t="shared" si="3"/>
        <v>malla Sima R92</v>
      </c>
      <c r="C87" s="6" t="str">
        <f t="shared" si="4"/>
        <v>kg</v>
      </c>
      <c r="D87" s="51">
        <v>52.5</v>
      </c>
      <c r="E87" s="51">
        <f>VLOOKUP(A87,'IN-04-14'!A9:D9,4,FALSE)</f>
        <v>16.6955</v>
      </c>
      <c r="F87" s="69">
        <f t="shared" si="5"/>
        <v>876.51375</v>
      </c>
    </row>
    <row r="88" spans="1:6" ht="12.75">
      <c r="A88" s="3" t="s">
        <v>1639</v>
      </c>
      <c r="B88" s="4" t="str">
        <f t="shared" si="3"/>
        <v>cemento Portland</v>
      </c>
      <c r="C88" s="6" t="str">
        <f t="shared" si="4"/>
        <v>kg</v>
      </c>
      <c r="D88" s="51">
        <v>315</v>
      </c>
      <c r="E88" s="51">
        <f>VLOOKUP(A88,'IN-04-14'!A89:D963,4,FALSE)</f>
        <v>1.65</v>
      </c>
      <c r="F88" s="69">
        <f t="shared" si="5"/>
        <v>519.75</v>
      </c>
    </row>
    <row r="89" spans="1:6" ht="12.75">
      <c r="A89" s="3" t="s">
        <v>1640</v>
      </c>
      <c r="B89" s="4" t="str">
        <f t="shared" si="3"/>
        <v>ripio zarandeado 1/3</v>
      </c>
      <c r="C89" s="6" t="str">
        <f t="shared" si="4"/>
        <v>m3</v>
      </c>
      <c r="D89" s="51">
        <v>0.7</v>
      </c>
      <c r="E89" s="51">
        <f>VLOOKUP(A89,'IN-04-14'!A44:D44,4,FALSE)</f>
        <v>126.06</v>
      </c>
      <c r="F89" s="69">
        <f t="shared" si="5"/>
        <v>88.24199999999999</v>
      </c>
    </row>
    <row r="90" spans="1:6" ht="12.75">
      <c r="A90" s="3" t="s">
        <v>1644</v>
      </c>
      <c r="B90" s="4" t="str">
        <f t="shared" si="3"/>
        <v>chapa de hierro N°16 DD de 1 x 2 m.</v>
      </c>
      <c r="C90" s="6" t="str">
        <f t="shared" si="4"/>
        <v>kg</v>
      </c>
      <c r="D90" s="51">
        <v>3.31</v>
      </c>
      <c r="E90" s="51">
        <f>VLOOKUP(A90,'IN-04-14'!A62:D62,4,FALSE)</f>
        <v>11.585</v>
      </c>
      <c r="F90" s="69">
        <f t="shared" si="5"/>
        <v>38.34635</v>
      </c>
    </row>
    <row r="91" spans="1:6" ht="12.75">
      <c r="A91" s="3" t="s">
        <v>1641</v>
      </c>
      <c r="B91" s="4" t="str">
        <f t="shared" si="3"/>
        <v>arena gruesa</v>
      </c>
      <c r="C91" s="6" t="str">
        <f t="shared" si="4"/>
        <v>m3</v>
      </c>
      <c r="D91" s="51">
        <v>0.6</v>
      </c>
      <c r="E91" s="51">
        <f>VLOOKUP(A91,'IN-04-14'!A42:D42,4,FALSE)</f>
        <v>141.805</v>
      </c>
      <c r="F91" s="69">
        <f t="shared" si="5"/>
        <v>85.083</v>
      </c>
    </row>
    <row r="92" spans="1:6" ht="12.75">
      <c r="A92" s="82" t="s">
        <v>351</v>
      </c>
      <c r="D92" s="51"/>
      <c r="E92" s="51"/>
      <c r="F92" s="69"/>
    </row>
    <row r="93" spans="1:6" ht="12.75">
      <c r="A93" s="3" t="s">
        <v>1636</v>
      </c>
      <c r="B93" s="4" t="str">
        <f>VLOOKUP(A93,Insumos,2)</f>
        <v>cuadrilla tipo UOCRA</v>
      </c>
      <c r="C93" s="6" t="str">
        <f>VLOOKUP(A93,Insumos,3)</f>
        <v>h</v>
      </c>
      <c r="D93" s="51">
        <v>30</v>
      </c>
      <c r="E93" s="51">
        <f>VLOOKUP(A93,'IN-04-14'!A94:D968,4,FALSE)</f>
        <v>58.06</v>
      </c>
      <c r="F93" s="69">
        <f>(D93*E93)</f>
        <v>1741.8000000000002</v>
      </c>
    </row>
    <row r="94" spans="1:6" ht="12.75">
      <c r="A94" s="82" t="s">
        <v>352</v>
      </c>
      <c r="D94" s="51"/>
      <c r="E94" s="51"/>
      <c r="F94" s="69"/>
    </row>
    <row r="95" spans="1:6" ht="12.75">
      <c r="A95" s="3" t="s">
        <v>1642</v>
      </c>
      <c r="B95" s="4" t="str">
        <f>VLOOKUP(A95,Insumos,2)</f>
        <v>canasta 2 (mixer 5m3)</v>
      </c>
      <c r="C95" s="6" t="str">
        <f>VLOOKUP(A95,Insumos,3)</f>
        <v>h</v>
      </c>
      <c r="D95" s="51">
        <v>0.05</v>
      </c>
      <c r="E95" s="51">
        <f>VLOOKUP(A95,'IN-04-14'!A96:D970,4,FALSE)</f>
        <v>727.26</v>
      </c>
      <c r="F95" s="69">
        <f>(D95*E95)</f>
        <v>36.363</v>
      </c>
    </row>
    <row r="96" spans="4:6" ht="13.5" thickBot="1">
      <c r="D96" s="51"/>
      <c r="E96" s="51"/>
      <c r="F96" s="69"/>
    </row>
    <row r="97" spans="1:7" ht="13.5" thickTop="1">
      <c r="A97" s="75" t="s">
        <v>346</v>
      </c>
      <c r="B97" s="221" t="s">
        <v>15</v>
      </c>
      <c r="C97" s="77" t="str">
        <f>Fecha</f>
        <v>abr-2014</v>
      </c>
      <c r="D97" s="48"/>
      <c r="E97" s="48"/>
      <c r="F97" s="222">
        <f>SUM(F99:F108)</f>
        <v>3979.7351299999996</v>
      </c>
      <c r="G97" s="41"/>
    </row>
    <row r="98" spans="1:7" ht="13.5" thickBot="1">
      <c r="A98" s="7" t="s">
        <v>345</v>
      </c>
      <c r="B98" s="7" t="s">
        <v>1685</v>
      </c>
      <c r="C98" s="78" t="s">
        <v>344</v>
      </c>
      <c r="D98" s="49" t="s">
        <v>378</v>
      </c>
      <c r="E98" s="50"/>
      <c r="F98" s="68"/>
      <c r="G98" s="42" t="s">
        <v>1984</v>
      </c>
    </row>
    <row r="99" spans="1:6" ht="13.5" thickTop="1">
      <c r="A99" s="82" t="s">
        <v>350</v>
      </c>
      <c r="D99" s="51"/>
      <c r="E99" s="51"/>
      <c r="F99" s="69"/>
    </row>
    <row r="100" spans="1:6" ht="12.75">
      <c r="A100" s="3" t="s">
        <v>1638</v>
      </c>
      <c r="B100" s="4" t="str">
        <f>VLOOKUP(A100,Insumos,2)</f>
        <v>hierro mejorado de 10 mm.</v>
      </c>
      <c r="C100" s="6" t="str">
        <f>VLOOKUP(A100,Insumos,3)</f>
        <v>kg</v>
      </c>
      <c r="D100" s="51">
        <f>119+0.6+1+1</f>
        <v>121.6</v>
      </c>
      <c r="E100" s="51">
        <f>VLOOKUP(A100,'IN-04-14'!A7:D7,4,FALSE)</f>
        <v>9.3933</v>
      </c>
      <c r="F100" s="69">
        <f>(D100*E100)</f>
        <v>1142.2252799999999</v>
      </c>
    </row>
    <row r="101" spans="1:6" ht="12.75">
      <c r="A101" s="3" t="s">
        <v>1639</v>
      </c>
      <c r="B101" s="4" t="str">
        <f>VLOOKUP(A101,Insumos,2)</f>
        <v>cemento Portland</v>
      </c>
      <c r="C101" s="6" t="str">
        <f>VLOOKUP(A101,Insumos,3)</f>
        <v>kg</v>
      </c>
      <c r="D101" s="51">
        <v>310</v>
      </c>
      <c r="E101" s="51">
        <f>VLOOKUP(A101,'IN-04-14'!A102:D976,4,FALSE)</f>
        <v>1.65</v>
      </c>
      <c r="F101" s="69">
        <f>(D101*E101)</f>
        <v>511.5</v>
      </c>
    </row>
    <row r="102" spans="1:6" ht="12.75">
      <c r="A102" s="3" t="s">
        <v>147</v>
      </c>
      <c r="B102" s="4" t="str">
        <f>VLOOKUP(A102,Insumos,2)</f>
        <v>madera 1ra. pino nacional cepillada</v>
      </c>
      <c r="C102" s="6" t="str">
        <f>VLOOKUP(A102,Insumos,3)</f>
        <v>m2</v>
      </c>
      <c r="D102" s="51">
        <v>3.43</v>
      </c>
      <c r="E102" s="51">
        <f>VLOOKUP(A102,'IN-04-14'!A103:D977,4,FALSE)</f>
        <v>90.645</v>
      </c>
      <c r="F102" s="69">
        <f>(D102*E102)</f>
        <v>310.91235</v>
      </c>
    </row>
    <row r="103" spans="1:6" ht="12.75">
      <c r="A103" s="3" t="s">
        <v>1640</v>
      </c>
      <c r="B103" s="4" t="str">
        <f>VLOOKUP(A103,Insumos,2)</f>
        <v>ripio zarandeado 1/3</v>
      </c>
      <c r="C103" s="6" t="str">
        <f>VLOOKUP(A103,Insumos,3)</f>
        <v>m3</v>
      </c>
      <c r="D103" s="51">
        <v>0.91</v>
      </c>
      <c r="E103" s="51">
        <f>VLOOKUP(A103,'IN-04-14'!A44:D44,4,FALSE)</f>
        <v>126.06</v>
      </c>
      <c r="F103" s="69">
        <f>(D103*E103)</f>
        <v>114.7146</v>
      </c>
    </row>
    <row r="104" spans="1:6" ht="12.75">
      <c r="A104" s="3" t="s">
        <v>1641</v>
      </c>
      <c r="B104" s="4" t="str">
        <f>VLOOKUP(A104,Insumos,2)</f>
        <v>arena gruesa</v>
      </c>
      <c r="C104" s="6" t="str">
        <f>VLOOKUP(A104,Insumos,3)</f>
        <v>m3</v>
      </c>
      <c r="D104" s="51">
        <v>0.78</v>
      </c>
      <c r="E104" s="51">
        <f>VLOOKUP(A104,'IN-04-14'!A42:D42,4,FALSE)</f>
        <v>141.805</v>
      </c>
      <c r="F104" s="69">
        <f>(D104*E104)</f>
        <v>110.60790000000001</v>
      </c>
    </row>
    <row r="105" spans="1:6" ht="12.75">
      <c r="A105" s="82" t="s">
        <v>351</v>
      </c>
      <c r="D105" s="51"/>
      <c r="E105" s="51"/>
      <c r="F105" s="69"/>
    </row>
    <row r="106" spans="1:6" ht="12.75">
      <c r="A106" s="3" t="s">
        <v>1636</v>
      </c>
      <c r="B106" s="4" t="str">
        <f>VLOOKUP(A106,Insumos,2)</f>
        <v>cuadrilla tipo UOCRA</v>
      </c>
      <c r="C106" s="6" t="str">
        <f>VLOOKUP(A106,Insumos,3)</f>
        <v>h</v>
      </c>
      <c r="D106" s="64">
        <f>30.2</f>
        <v>30.2</v>
      </c>
      <c r="E106" s="51">
        <f>VLOOKUP(A106,'IN-04-14'!A107:D981,4,FALSE)</f>
        <v>58.06</v>
      </c>
      <c r="F106" s="69">
        <f>(D106*E106)</f>
        <v>1753.412</v>
      </c>
    </row>
    <row r="107" spans="1:6" ht="12.75">
      <c r="A107" s="82" t="s">
        <v>352</v>
      </c>
      <c r="D107" s="51"/>
      <c r="E107" s="51"/>
      <c r="F107" s="69"/>
    </row>
    <row r="108" spans="1:6" ht="12.75">
      <c r="A108" s="3" t="s">
        <v>1642</v>
      </c>
      <c r="B108" s="4" t="str">
        <f>VLOOKUP(A108,Insumos,2)</f>
        <v>canasta 2 (mixer 5m3)</v>
      </c>
      <c r="C108" s="6" t="str">
        <f>VLOOKUP(A108,Insumos,3)</f>
        <v>h</v>
      </c>
      <c r="D108" s="51">
        <v>0.05</v>
      </c>
      <c r="E108" s="51">
        <f>VLOOKUP(A108,'IN-04-14'!A109:D983,4,FALSE)</f>
        <v>727.26</v>
      </c>
      <c r="F108" s="69">
        <f>(D108*E108)</f>
        <v>36.363</v>
      </c>
    </row>
    <row r="109" ht="13.5" thickBot="1"/>
    <row r="110" spans="1:7" ht="13.5" thickTop="1">
      <c r="A110" s="75" t="s">
        <v>346</v>
      </c>
      <c r="B110" s="221" t="s">
        <v>15</v>
      </c>
      <c r="C110" s="77" t="str">
        <f>Fecha</f>
        <v>abr-2014</v>
      </c>
      <c r="D110" s="48"/>
      <c r="E110" s="48"/>
      <c r="F110" s="222">
        <f>SUM(F112:F121)</f>
        <v>4464.849010000001</v>
      </c>
      <c r="G110" s="41"/>
    </row>
    <row r="111" spans="1:7" ht="13.5" thickBot="1">
      <c r="A111" s="7" t="s">
        <v>345</v>
      </c>
      <c r="B111" s="7" t="s">
        <v>1685</v>
      </c>
      <c r="C111" s="78" t="s">
        <v>344</v>
      </c>
      <c r="D111" s="49" t="s">
        <v>380</v>
      </c>
      <c r="E111" s="50"/>
      <c r="F111" s="68"/>
      <c r="G111" s="42" t="s">
        <v>1984</v>
      </c>
    </row>
    <row r="112" spans="1:6" ht="13.5" thickTop="1">
      <c r="A112" s="82" t="s">
        <v>350</v>
      </c>
      <c r="D112" s="51"/>
      <c r="E112" s="51"/>
      <c r="F112" s="69"/>
    </row>
    <row r="113" spans="1:6" ht="12.75">
      <c r="A113" s="3" t="s">
        <v>1638</v>
      </c>
      <c r="B113" s="4" t="str">
        <f>VLOOKUP(A113,Insumos,2)</f>
        <v>hierro mejorado de 10 mm.</v>
      </c>
      <c r="C113" s="6" t="str">
        <f>VLOOKUP(A113,Insumos,3)</f>
        <v>kg</v>
      </c>
      <c r="D113" s="51">
        <f>132+12+3.4</f>
        <v>147.4</v>
      </c>
      <c r="E113" s="51">
        <f>VLOOKUP(A113,'IN-04-14'!A7:D7,4,FALSE)</f>
        <v>9.3933</v>
      </c>
      <c r="F113" s="69">
        <f>(D113*E113)</f>
        <v>1384.57242</v>
      </c>
    </row>
    <row r="114" spans="1:6" ht="12.75">
      <c r="A114" s="3" t="s">
        <v>1639</v>
      </c>
      <c r="B114" s="4" t="str">
        <f>VLOOKUP(A114,Insumos,2)</f>
        <v>cemento Portland</v>
      </c>
      <c r="C114" s="6" t="str">
        <f>VLOOKUP(A114,Insumos,3)</f>
        <v>kg</v>
      </c>
      <c r="D114" s="51">
        <v>310</v>
      </c>
      <c r="E114" s="51">
        <f>VLOOKUP(A114,'IN-04-14'!A115:D989,4,FALSE)</f>
        <v>1.65</v>
      </c>
      <c r="F114" s="69">
        <f>(D114*E114)</f>
        <v>511.5</v>
      </c>
    </row>
    <row r="115" spans="1:6" ht="12.75">
      <c r="A115" s="3" t="s">
        <v>147</v>
      </c>
      <c r="B115" s="4" t="str">
        <f>VLOOKUP(A115,Insumos,2)</f>
        <v>madera 1ra. pino nacional cepillada</v>
      </c>
      <c r="C115" s="6" t="str">
        <f>VLOOKUP(A115,Insumos,3)</f>
        <v>m2</v>
      </c>
      <c r="D115" s="51">
        <v>1.942</v>
      </c>
      <c r="E115" s="51">
        <f>VLOOKUP(A115,'IN-04-14'!A116:D990,4,FALSE)</f>
        <v>90.645</v>
      </c>
      <c r="F115" s="69">
        <f>(D115*E115)</f>
        <v>176.03259</v>
      </c>
    </row>
    <row r="116" spans="1:6" ht="12.75">
      <c r="A116" s="3" t="s">
        <v>1640</v>
      </c>
      <c r="B116" s="4" t="str">
        <f>VLOOKUP(A116,Insumos,2)</f>
        <v>ripio zarandeado 1/3</v>
      </c>
      <c r="C116" s="6" t="str">
        <f>VLOOKUP(A116,Insumos,3)</f>
        <v>m3</v>
      </c>
      <c r="D116" s="51">
        <v>0.7</v>
      </c>
      <c r="E116" s="51">
        <f>VLOOKUP(A116,'IN-04-14'!A44:D44,4,FALSE)</f>
        <v>126.06</v>
      </c>
      <c r="F116" s="69">
        <f>(D116*E116)</f>
        <v>88.24199999999999</v>
      </c>
    </row>
    <row r="117" spans="1:6" ht="12.75">
      <c r="A117" s="3" t="s">
        <v>1641</v>
      </c>
      <c r="B117" s="4" t="str">
        <f>VLOOKUP(A117,Insumos,2)</f>
        <v>arena gruesa</v>
      </c>
      <c r="C117" s="6" t="str">
        <f>VLOOKUP(A117,Insumos,3)</f>
        <v>m3</v>
      </c>
      <c r="D117" s="51">
        <v>0.6</v>
      </c>
      <c r="E117" s="51">
        <f>VLOOKUP(A117,'IN-04-14'!A42:D42,4,FALSE)</f>
        <v>141.805</v>
      </c>
      <c r="F117" s="69">
        <f>(D117*E117)</f>
        <v>85.083</v>
      </c>
    </row>
    <row r="118" spans="1:6" ht="12.75">
      <c r="A118" s="82" t="s">
        <v>351</v>
      </c>
      <c r="D118" s="51"/>
      <c r="E118" s="51"/>
      <c r="F118" s="69"/>
    </row>
    <row r="119" spans="1:6" ht="12.75">
      <c r="A119" s="3" t="s">
        <v>1636</v>
      </c>
      <c r="B119" s="4" t="str">
        <f>VLOOKUP(A119,Insumos,2)</f>
        <v>cuadrilla tipo UOCRA</v>
      </c>
      <c r="C119" s="6" t="str">
        <f>VLOOKUP(A119,Insumos,3)</f>
        <v>h</v>
      </c>
      <c r="D119" s="51">
        <v>37.6</v>
      </c>
      <c r="E119" s="51">
        <f>VLOOKUP(A119,'IN-04-14'!A120:D994,4,FALSE)</f>
        <v>58.06</v>
      </c>
      <c r="F119" s="69">
        <f>(D119*E119)</f>
        <v>2183.056</v>
      </c>
    </row>
    <row r="120" spans="1:6" ht="12.75">
      <c r="A120" s="82" t="s">
        <v>352</v>
      </c>
      <c r="D120" s="51"/>
      <c r="E120" s="51"/>
      <c r="F120" s="69"/>
    </row>
    <row r="121" spans="1:6" ht="12.75">
      <c r="A121" s="3" t="s">
        <v>1642</v>
      </c>
      <c r="B121" s="4" t="str">
        <f>VLOOKUP(A121,Insumos,2)</f>
        <v>canasta 2 (mixer 5m3)</v>
      </c>
      <c r="C121" s="6" t="str">
        <f>VLOOKUP(A121,Insumos,3)</f>
        <v>h</v>
      </c>
      <c r="D121" s="51">
        <v>0.05</v>
      </c>
      <c r="E121" s="51">
        <f>VLOOKUP(A121,'IN-04-14'!A110:D110,4,FALSE)</f>
        <v>727.26</v>
      </c>
      <c r="F121" s="69">
        <f>(D121*E121)</f>
        <v>36.363</v>
      </c>
    </row>
    <row r="122" ht="13.5" thickBot="1"/>
    <row r="123" spans="1:7" ht="13.5" thickTop="1">
      <c r="A123" s="75" t="s">
        <v>346</v>
      </c>
      <c r="B123" s="221" t="s">
        <v>15</v>
      </c>
      <c r="C123" s="77" t="str">
        <f>Fecha</f>
        <v>abr-2014</v>
      </c>
      <c r="D123" s="48"/>
      <c r="E123" s="48"/>
      <c r="F123" s="222">
        <f>SUM(F125:F134)</f>
        <v>5160.683645</v>
      </c>
      <c r="G123" s="41"/>
    </row>
    <row r="124" spans="1:7" ht="13.5" thickBot="1">
      <c r="A124" s="7" t="s">
        <v>345</v>
      </c>
      <c r="B124" s="7" t="s">
        <v>1685</v>
      </c>
      <c r="C124" s="78" t="s">
        <v>344</v>
      </c>
      <c r="D124" s="49" t="s">
        <v>382</v>
      </c>
      <c r="E124" s="50"/>
      <c r="F124" s="68"/>
      <c r="G124" s="42" t="s">
        <v>1984</v>
      </c>
    </row>
    <row r="125" spans="1:6" ht="13.5" thickTop="1">
      <c r="A125" s="82" t="s">
        <v>350</v>
      </c>
      <c r="D125" s="51"/>
      <c r="E125" s="51"/>
      <c r="F125" s="69"/>
    </row>
    <row r="126" spans="1:6" ht="12.75">
      <c r="A126" s="3" t="s">
        <v>1638</v>
      </c>
      <c r="B126" s="4" t="str">
        <f>VLOOKUP(A126,Insumos,2)</f>
        <v>hierro mejorado de 10 mm.</v>
      </c>
      <c r="C126" s="6" t="str">
        <f>VLOOKUP(A126,Insumos,3)</f>
        <v>kg</v>
      </c>
      <c r="D126" s="51">
        <f>214+2.5</f>
        <v>216.5</v>
      </c>
      <c r="E126" s="51">
        <f>VLOOKUP(A126,'IN-04-14'!A7:D7,4,FALSE)</f>
        <v>9.3933</v>
      </c>
      <c r="F126" s="69">
        <f>(D126*E126)</f>
        <v>2033.64945</v>
      </c>
    </row>
    <row r="127" spans="1:6" ht="12.75">
      <c r="A127" s="3" t="s">
        <v>1639</v>
      </c>
      <c r="B127" s="4" t="str">
        <f>VLOOKUP(A127,Insumos,2)</f>
        <v>cemento Portland</v>
      </c>
      <c r="C127" s="6" t="str">
        <f>VLOOKUP(A127,Insumos,3)</f>
        <v>kg</v>
      </c>
      <c r="D127" s="51">
        <v>315</v>
      </c>
      <c r="E127" s="51">
        <f>VLOOKUP(A127,'IN-04-14'!A128:D1002,4,FALSE)</f>
        <v>1.65</v>
      </c>
      <c r="F127" s="69">
        <f>(D127*E127)</f>
        <v>519.75</v>
      </c>
    </row>
    <row r="128" spans="1:6" ht="12.75">
      <c r="A128" s="3" t="s">
        <v>147</v>
      </c>
      <c r="B128" s="4" t="str">
        <f>VLOOKUP(A128,Insumos,2)</f>
        <v>madera 1ra. pino nacional cepillada</v>
      </c>
      <c r="C128" s="6" t="str">
        <f>VLOOKUP(A128,Insumos,3)</f>
        <v>m2</v>
      </c>
      <c r="D128" s="51">
        <v>2.591</v>
      </c>
      <c r="E128" s="51">
        <f>VLOOKUP(A128,'IN-04-14'!A129:D1003,4,FALSE)</f>
        <v>90.645</v>
      </c>
      <c r="F128" s="69">
        <f>(D128*E128)</f>
        <v>234.861195</v>
      </c>
    </row>
    <row r="129" spans="1:6" ht="12.75">
      <c r="A129" s="3" t="s">
        <v>1640</v>
      </c>
      <c r="B129" s="4" t="str">
        <f>VLOOKUP(A129,Insumos,2)</f>
        <v>ripio zarandeado 1/3</v>
      </c>
      <c r="C129" s="6" t="str">
        <f>VLOOKUP(A129,Insumos,3)</f>
        <v>m3</v>
      </c>
      <c r="D129" s="51">
        <v>0.7</v>
      </c>
      <c r="E129" s="51">
        <f>VLOOKUP(A129,'IN-04-14'!A44:D44,4,FALSE)</f>
        <v>126.06</v>
      </c>
      <c r="F129" s="69">
        <f>(D129*E129)</f>
        <v>88.24199999999999</v>
      </c>
    </row>
    <row r="130" spans="1:6" ht="12.75">
      <c r="A130" s="3" t="s">
        <v>1641</v>
      </c>
      <c r="B130" s="4" t="str">
        <f>VLOOKUP(A130,Insumos,2)</f>
        <v>arena gruesa</v>
      </c>
      <c r="C130" s="6" t="str">
        <f>VLOOKUP(A130,Insumos,3)</f>
        <v>m3</v>
      </c>
      <c r="D130" s="51">
        <v>0.6</v>
      </c>
      <c r="E130" s="51">
        <f>VLOOKUP(A130,'IN-04-14'!A42:D42,4,FALSE)</f>
        <v>141.805</v>
      </c>
      <c r="F130" s="69">
        <f>(D130*E130)</f>
        <v>85.083</v>
      </c>
    </row>
    <row r="131" spans="1:6" ht="12.75">
      <c r="A131" s="82" t="s">
        <v>351</v>
      </c>
      <c r="D131" s="51"/>
      <c r="E131" s="51"/>
      <c r="F131" s="69"/>
    </row>
    <row r="132" spans="1:6" ht="12.75">
      <c r="A132" s="3" t="s">
        <v>1636</v>
      </c>
      <c r="B132" s="4" t="str">
        <f>VLOOKUP(A132,Insumos,2)</f>
        <v>cuadrilla tipo UOCRA</v>
      </c>
      <c r="C132" s="6" t="str">
        <f>VLOOKUP(A132,Insumos,3)</f>
        <v>h</v>
      </c>
      <c r="D132" s="64">
        <v>37.25</v>
      </c>
      <c r="E132" s="51">
        <f>VLOOKUP(A132,'IN-04-14'!A133:D1007,4,FALSE)</f>
        <v>58.06</v>
      </c>
      <c r="F132" s="69">
        <f>(D132*E132)</f>
        <v>2162.735</v>
      </c>
    </row>
    <row r="133" spans="1:6" ht="12.75">
      <c r="A133" s="82" t="s">
        <v>352</v>
      </c>
      <c r="D133" s="51"/>
      <c r="E133" s="51"/>
      <c r="F133" s="69"/>
    </row>
    <row r="134" spans="1:6" ht="12.75">
      <c r="A134" s="3" t="s">
        <v>1642</v>
      </c>
      <c r="B134" s="4" t="str">
        <f>VLOOKUP(A134,Insumos,2)</f>
        <v>canasta 2 (mixer 5m3)</v>
      </c>
      <c r="C134" s="6" t="str">
        <f>VLOOKUP(A134,Insumos,3)</f>
        <v>h</v>
      </c>
      <c r="D134" s="51">
        <v>0.05</v>
      </c>
      <c r="E134" s="51">
        <f>VLOOKUP(A134,'IN-04-14'!A110:D110,4,FALSE)</f>
        <v>727.26</v>
      </c>
      <c r="F134" s="69">
        <f>(D134*E134)</f>
        <v>36.363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0"/>
  </sheetPr>
  <dimension ref="A1:G125"/>
  <sheetViews>
    <sheetView showGridLines="0" zoomScale="90" zoomScaleNormal="90" zoomScaleSheetLayoutView="75" zoomScalePageLayoutView="0" workbookViewId="0" topLeftCell="A1">
      <selection activeCell="E24" sqref="E2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346</v>
      </c>
      <c r="B2" s="221" t="s">
        <v>1827</v>
      </c>
      <c r="C2" s="77" t="str">
        <f>Fecha</f>
        <v>abr-2014</v>
      </c>
      <c r="D2" s="48"/>
      <c r="E2" s="48"/>
      <c r="F2" s="222">
        <f>SUM(F4:F12)</f>
        <v>223.92547700000003</v>
      </c>
      <c r="G2" s="41"/>
    </row>
    <row r="3" spans="1:7" ht="13.5" thickBot="1">
      <c r="A3" s="7" t="s">
        <v>345</v>
      </c>
      <c r="B3" s="7" t="s">
        <v>1686</v>
      </c>
      <c r="C3" s="78" t="s">
        <v>344</v>
      </c>
      <c r="D3" s="49" t="s">
        <v>1848</v>
      </c>
      <c r="E3" s="50"/>
      <c r="F3" s="68"/>
      <c r="G3" s="42" t="s">
        <v>1937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1646</v>
      </c>
      <c r="B5" s="4" t="str">
        <f>VLOOKUP(A5,Insumos,2)</f>
        <v>cal hidratada en bolsa</v>
      </c>
      <c r="C5" s="6" t="str">
        <f>VLOOKUP(A5,Insumos,3)</f>
        <v>kg</v>
      </c>
      <c r="D5" s="51">
        <v>6.96</v>
      </c>
      <c r="E5" s="51">
        <f>VLOOKUP(A5,'IN-04-14'!A6:D880,4,FALSE)</f>
        <v>1.57</v>
      </c>
      <c r="F5" s="69">
        <f>(D5*E5)</f>
        <v>10.927200000000001</v>
      </c>
    </row>
    <row r="6" spans="1:6" ht="12.75">
      <c r="A6" s="3" t="s">
        <v>1639</v>
      </c>
      <c r="B6" s="4" t="str">
        <f>VLOOKUP(A6,Insumos,2)</f>
        <v>cemento Portland</v>
      </c>
      <c r="C6" s="6" t="str">
        <f>VLOOKUP(A6,Insumos,3)</f>
        <v>kg</v>
      </c>
      <c r="D6" s="51">
        <v>4.13</v>
      </c>
      <c r="E6" s="51">
        <f>VLOOKUP(A6,'IN-04-14'!A7:D881,4,FALSE)</f>
        <v>1.65</v>
      </c>
      <c r="F6" s="69">
        <f>(D6*E6)</f>
        <v>6.8145</v>
      </c>
    </row>
    <row r="7" spans="1:6" ht="12.75">
      <c r="A7" s="3" t="s">
        <v>1647</v>
      </c>
      <c r="B7" s="4" t="str">
        <f>VLOOKUP(A7,Insumos,2)</f>
        <v>ladrillo común de 1ra.calidad</v>
      </c>
      <c r="C7" s="6" t="str">
        <f>VLOOKUP(A7,Insumos,3)</f>
        <v>mil</v>
      </c>
      <c r="D7" s="51">
        <v>0.055</v>
      </c>
      <c r="E7" s="51">
        <f>VLOOKUP(A7,'IN-04-14'!A8:D882,4,FALSE)</f>
        <v>1800</v>
      </c>
      <c r="F7" s="69">
        <f>(D7*E7)</f>
        <v>99</v>
      </c>
    </row>
    <row r="8" spans="1:6" ht="12.75">
      <c r="A8" s="3" t="s">
        <v>1641</v>
      </c>
      <c r="B8" s="4" t="str">
        <f>VLOOKUP(A8,Insumos,2)</f>
        <v>arena gruesa</v>
      </c>
      <c r="C8" s="6" t="str">
        <f>VLOOKUP(A8,Insumos,3)</f>
        <v>m3</v>
      </c>
      <c r="D8" s="51">
        <v>0.047</v>
      </c>
      <c r="E8" s="51">
        <f>VLOOKUP(A8,'IN-04-14'!A9:D883,4,FALSE)</f>
        <v>141.805</v>
      </c>
      <c r="F8" s="69">
        <f>(D8*E8)</f>
        <v>6.664835</v>
      </c>
    </row>
    <row r="9" spans="1:6" ht="12.75">
      <c r="A9" s="82" t="s">
        <v>351</v>
      </c>
      <c r="D9" s="51"/>
      <c r="E9" s="51"/>
      <c r="F9" s="69"/>
    </row>
    <row r="10" spans="1:6" ht="12.75">
      <c r="A10" s="3" t="s">
        <v>1636</v>
      </c>
      <c r="B10" s="4" t="str">
        <f>VLOOKUP(A10,Insumos,2)</f>
        <v>cuadrilla tipo UOCRA</v>
      </c>
      <c r="C10" s="6" t="str">
        <f>VLOOKUP(A10,Insumos,3)</f>
        <v>h</v>
      </c>
      <c r="D10" s="51">
        <v>1.71</v>
      </c>
      <c r="E10" s="51">
        <f>VLOOKUP(A10,'IN-04-14'!A11:D885,4,FALSE)</f>
        <v>58.06</v>
      </c>
      <c r="F10" s="69">
        <f>(D10*E10)</f>
        <v>99.2826</v>
      </c>
    </row>
    <row r="11" spans="1:6" ht="12.75">
      <c r="A11" s="82" t="s">
        <v>352</v>
      </c>
      <c r="D11" s="51"/>
      <c r="E11" s="51"/>
      <c r="F11" s="69"/>
    </row>
    <row r="12" spans="1:6" ht="12.75">
      <c r="A12" s="3" t="s">
        <v>1642</v>
      </c>
      <c r="B12" s="4" t="str">
        <f>VLOOKUP(A12,Insumos,2)</f>
        <v>canasta 2 (mixer 5m3)</v>
      </c>
      <c r="C12" s="6" t="str">
        <f>VLOOKUP(A12,Insumos,3)</f>
        <v>h</v>
      </c>
      <c r="D12" s="51">
        <v>0.0017</v>
      </c>
      <c r="E12" s="51">
        <f>VLOOKUP(A12,'IN-04-14'!A13:D887,4,FALSE)</f>
        <v>727.26</v>
      </c>
      <c r="F12" s="69">
        <f>(D12*E12)</f>
        <v>1.2363419999999998</v>
      </c>
    </row>
    <row r="13" spans="4:6" ht="13.5" thickBot="1">
      <c r="D13" s="51"/>
      <c r="E13" s="51"/>
      <c r="F13" s="69"/>
    </row>
    <row r="14" spans="1:7" ht="13.5" thickTop="1">
      <c r="A14" s="75" t="s">
        <v>346</v>
      </c>
      <c r="B14" s="221" t="s">
        <v>1851</v>
      </c>
      <c r="C14" s="77" t="str">
        <f>Fecha</f>
        <v>abr-2014</v>
      </c>
      <c r="D14" s="48"/>
      <c r="E14" s="48"/>
      <c r="F14" s="222">
        <f>SUM(F16:F24)</f>
        <v>1585.813609</v>
      </c>
      <c r="G14" s="41"/>
    </row>
    <row r="15" spans="1:7" ht="13.5" thickBot="1">
      <c r="A15" s="7" t="s">
        <v>345</v>
      </c>
      <c r="B15" s="7" t="s">
        <v>1686</v>
      </c>
      <c r="C15" s="78" t="s">
        <v>344</v>
      </c>
      <c r="D15" s="49" t="s">
        <v>1847</v>
      </c>
      <c r="E15" s="50"/>
      <c r="F15" s="68"/>
      <c r="G15" s="42" t="s">
        <v>1984</v>
      </c>
    </row>
    <row r="16" spans="1:6" ht="13.5" thickTop="1">
      <c r="A16" s="82" t="s">
        <v>350</v>
      </c>
      <c r="D16" s="51"/>
      <c r="E16" s="51"/>
      <c r="F16" s="69"/>
    </row>
    <row r="17" spans="1:6" ht="12.75">
      <c r="A17" s="3" t="s">
        <v>1646</v>
      </c>
      <c r="B17" s="4" t="str">
        <f>VLOOKUP(A17,Insumos,2)</f>
        <v>cal hidratada en bolsa</v>
      </c>
      <c r="C17" s="6" t="str">
        <f>VLOOKUP(A17,Insumos,3)</f>
        <v>kg</v>
      </c>
      <c r="D17" s="51">
        <v>57.6</v>
      </c>
      <c r="E17" s="51">
        <f>VLOOKUP(A17,'IN-04-14'!A18:D892,4,FALSE)</f>
        <v>1.57</v>
      </c>
      <c r="F17" s="69">
        <f>(D17*E17)</f>
        <v>90.432</v>
      </c>
    </row>
    <row r="18" spans="1:6" ht="12.75">
      <c r="A18" s="3" t="s">
        <v>1639</v>
      </c>
      <c r="B18" s="4" t="str">
        <f>VLOOKUP(A18,Insumos,2)</f>
        <v>cemento Portland</v>
      </c>
      <c r="C18" s="6" t="str">
        <f>VLOOKUP(A18,Insumos,3)</f>
        <v>kg</v>
      </c>
      <c r="D18" s="51">
        <v>34.2</v>
      </c>
      <c r="E18" s="51">
        <f>VLOOKUP(A18,'IN-04-14'!A19:D893,4,FALSE)</f>
        <v>1.65</v>
      </c>
      <c r="F18" s="69">
        <f>(D18*E18)</f>
        <v>56.43</v>
      </c>
    </row>
    <row r="19" spans="1:6" ht="12.75">
      <c r="A19" s="3" t="s">
        <v>1647</v>
      </c>
      <c r="B19" s="4" t="str">
        <f>VLOOKUP(A19,Insumos,2)</f>
        <v>ladrillo común de 1ra.calidad</v>
      </c>
      <c r="C19" s="6" t="str">
        <f>VLOOKUP(A19,Insumos,3)</f>
        <v>mil</v>
      </c>
      <c r="D19" s="51">
        <v>0.4</v>
      </c>
      <c r="E19" s="51">
        <f>VLOOKUP(A19,'IN-04-14'!A20:D894,4,FALSE)</f>
        <v>1800</v>
      </c>
      <c r="F19" s="69">
        <f>(D19*E19)</f>
        <v>720</v>
      </c>
    </row>
    <row r="20" spans="1:6" ht="12.75">
      <c r="A20" s="3" t="s">
        <v>1641</v>
      </c>
      <c r="B20" s="4" t="str">
        <f>VLOOKUP(A20,Insumos,2)</f>
        <v>arena gruesa</v>
      </c>
      <c r="C20" s="6" t="str">
        <f>VLOOKUP(A20,Insumos,3)</f>
        <v>m3</v>
      </c>
      <c r="D20" s="51">
        <v>0.385</v>
      </c>
      <c r="E20" s="51">
        <f>VLOOKUP(A20,'IN-04-14'!A21:D895,4,FALSE)</f>
        <v>141.805</v>
      </c>
      <c r="F20" s="69">
        <f>(D20*E20)</f>
        <v>54.594925</v>
      </c>
    </row>
    <row r="21" spans="1:6" ht="12.75">
      <c r="A21" s="82" t="s">
        <v>351</v>
      </c>
      <c r="D21" s="51"/>
      <c r="E21" s="51"/>
      <c r="F21" s="69"/>
    </row>
    <row r="22" spans="1:6" ht="12.75">
      <c r="A22" s="3" t="s">
        <v>1636</v>
      </c>
      <c r="B22" s="4" t="str">
        <f>VLOOKUP(A22,Insumos,2)</f>
        <v>cuadrilla tipo UOCRA</v>
      </c>
      <c r="C22" s="6" t="str">
        <f>VLOOKUP(A22,Insumos,3)</f>
        <v>h</v>
      </c>
      <c r="D22" s="51">
        <v>11.4</v>
      </c>
      <c r="E22" s="51">
        <f>VLOOKUP(A22,'IN-04-14'!A23:D897,4,FALSE)</f>
        <v>58.06</v>
      </c>
      <c r="F22" s="69">
        <f>(D22*E22)</f>
        <v>661.884</v>
      </c>
    </row>
    <row r="23" spans="1:6" ht="12.75">
      <c r="A23" s="82" t="s">
        <v>352</v>
      </c>
      <c r="D23" s="51"/>
      <c r="E23" s="51"/>
      <c r="F23" s="69"/>
    </row>
    <row r="24" spans="1:6" ht="12.75">
      <c r="A24" s="3" t="s">
        <v>1642</v>
      </c>
      <c r="B24" s="4" t="str">
        <f>VLOOKUP(A24,Insumos,2)</f>
        <v>canasta 2 (mixer 5m3)</v>
      </c>
      <c r="C24" s="6" t="str">
        <f>VLOOKUP(A24,Insumos,3)</f>
        <v>h</v>
      </c>
      <c r="D24" s="51">
        <v>0.0034</v>
      </c>
      <c r="E24" s="51">
        <f>VLOOKUP(A24,'IN-04-14'!A25:D899,4,FALSE)</f>
        <v>727.26</v>
      </c>
      <c r="F24" s="69">
        <f>(D24*E24)</f>
        <v>2.4726839999999997</v>
      </c>
    </row>
    <row r="25" spans="1:6" ht="13.5" thickBot="1">
      <c r="A25" s="3"/>
      <c r="B25" s="4"/>
      <c r="C25" s="6"/>
      <c r="D25" s="51"/>
      <c r="E25" s="51"/>
      <c r="F25" s="69"/>
    </row>
    <row r="26" spans="1:7" ht="13.5" thickTop="1">
      <c r="A26" s="75" t="s">
        <v>346</v>
      </c>
      <c r="B26" s="221" t="s">
        <v>1852</v>
      </c>
      <c r="C26" s="77" t="str">
        <f>Fecha</f>
        <v>abr-2014</v>
      </c>
      <c r="D26" s="48" t="s">
        <v>1898</v>
      </c>
      <c r="E26" s="48"/>
      <c r="F26" s="222">
        <f>SUM(F28:F36)</f>
        <v>1723.2930090000002</v>
      </c>
      <c r="G26" s="41"/>
    </row>
    <row r="27" spans="1:7" ht="13.5" thickBot="1">
      <c r="A27" s="7" t="s">
        <v>345</v>
      </c>
      <c r="B27" s="7" t="s">
        <v>1686</v>
      </c>
      <c r="C27" s="78" t="s">
        <v>344</v>
      </c>
      <c r="D27" s="49" t="s">
        <v>1850</v>
      </c>
      <c r="E27" s="50"/>
      <c r="F27" s="68"/>
      <c r="G27" s="42" t="s">
        <v>1984</v>
      </c>
    </row>
    <row r="28" spans="1:6" ht="13.5" thickTop="1">
      <c r="A28" s="82" t="s">
        <v>350</v>
      </c>
      <c r="D28" s="51"/>
      <c r="E28" s="51"/>
      <c r="F28" s="69"/>
    </row>
    <row r="29" spans="1:6" ht="12.75">
      <c r="A29" s="3" t="s">
        <v>1646</v>
      </c>
      <c r="B29" s="4" t="str">
        <f>VLOOKUP(A29,Insumos,2)</f>
        <v>cal hidratada en bolsa</v>
      </c>
      <c r="C29" s="6" t="str">
        <f>VLOOKUP(A29,Insumos,3)</f>
        <v>kg</v>
      </c>
      <c r="D29" s="51">
        <v>57.6</v>
      </c>
      <c r="E29" s="51">
        <f>VLOOKUP(A29,'IN-04-14'!A30:D904,4,FALSE)</f>
        <v>1.57</v>
      </c>
      <c r="F29" s="69">
        <f>(D29*E29)</f>
        <v>90.432</v>
      </c>
    </row>
    <row r="30" spans="1:6" ht="12.75">
      <c r="A30" s="3" t="s">
        <v>1639</v>
      </c>
      <c r="B30" s="4" t="str">
        <f>VLOOKUP(A30,Insumos,2)</f>
        <v>cemento Portland</v>
      </c>
      <c r="C30" s="6" t="str">
        <f>VLOOKUP(A30,Insumos,3)</f>
        <v>kg</v>
      </c>
      <c r="D30" s="51">
        <v>38.7</v>
      </c>
      <c r="E30" s="51">
        <f>VLOOKUP(A30,'IN-04-14'!A31:D905,4,FALSE)</f>
        <v>1.65</v>
      </c>
      <c r="F30" s="69">
        <f>(D30*E30)</f>
        <v>63.855000000000004</v>
      </c>
    </row>
    <row r="31" spans="1:6" ht="12.75">
      <c r="A31" s="3" t="s">
        <v>1647</v>
      </c>
      <c r="B31" s="4" t="str">
        <f>VLOOKUP(A31,Insumos,2)</f>
        <v>ladrillo común de 1ra.calidad</v>
      </c>
      <c r="C31" s="6" t="str">
        <f>VLOOKUP(A31,Insumos,3)</f>
        <v>mil</v>
      </c>
      <c r="D31" s="51">
        <v>0.4</v>
      </c>
      <c r="E31" s="51">
        <f>VLOOKUP(A31,'IN-04-14'!A32:D906,4,FALSE)</f>
        <v>1800</v>
      </c>
      <c r="F31" s="69">
        <f>(D31*E31)</f>
        <v>720</v>
      </c>
    </row>
    <row r="32" spans="1:6" ht="12.75">
      <c r="A32" s="3" t="s">
        <v>1641</v>
      </c>
      <c r="B32" s="4" t="str">
        <f>VLOOKUP(A32,Insumos,2)</f>
        <v>arena gruesa</v>
      </c>
      <c r="C32" s="6" t="str">
        <f>VLOOKUP(A32,Insumos,3)</f>
        <v>m3</v>
      </c>
      <c r="D32" s="51">
        <v>0.385</v>
      </c>
      <c r="E32" s="51">
        <f>VLOOKUP(A32,'IN-04-14'!A33:D907,4,FALSE)</f>
        <v>141.805</v>
      </c>
      <c r="F32" s="69">
        <f>(D32*E32)</f>
        <v>54.594925</v>
      </c>
    </row>
    <row r="33" spans="1:6" ht="12.75">
      <c r="A33" s="82" t="s">
        <v>351</v>
      </c>
      <c r="D33" s="51"/>
      <c r="E33" s="51"/>
      <c r="F33" s="69"/>
    </row>
    <row r="34" spans="1:6" ht="12.75">
      <c r="A34" s="3" t="s">
        <v>1636</v>
      </c>
      <c r="B34" s="4" t="str">
        <f>VLOOKUP(A34,Insumos,2)</f>
        <v>cuadrilla tipo UOCRA</v>
      </c>
      <c r="C34" s="6" t="str">
        <f>VLOOKUP(A34,Insumos,3)</f>
        <v>h</v>
      </c>
      <c r="D34" s="51">
        <v>13.64</v>
      </c>
      <c r="E34" s="51">
        <f>VLOOKUP(A34,'IN-04-14'!A35:D909,4,FALSE)</f>
        <v>58.06</v>
      </c>
      <c r="F34" s="69">
        <f>(D34*E34)</f>
        <v>791.9384000000001</v>
      </c>
    </row>
    <row r="35" spans="1:6" ht="12.75">
      <c r="A35" s="82" t="s">
        <v>352</v>
      </c>
      <c r="D35" s="51"/>
      <c r="E35" s="51"/>
      <c r="F35" s="69"/>
    </row>
    <row r="36" spans="1:6" ht="12.75">
      <c r="A36" s="3" t="s">
        <v>1642</v>
      </c>
      <c r="B36" s="4" t="str">
        <f>VLOOKUP(A36,Insumos,2)</f>
        <v>canasta 2 (mixer 5m3)</v>
      </c>
      <c r="C36" s="6" t="str">
        <f>VLOOKUP(A36,Insumos,3)</f>
        <v>h</v>
      </c>
      <c r="D36" s="51">
        <v>0.0034</v>
      </c>
      <c r="E36" s="51">
        <f>VLOOKUP(A36,'IN-04-14'!A37:D911,4,FALSE)</f>
        <v>727.26</v>
      </c>
      <c r="F36" s="69">
        <f>(D36*E36)</f>
        <v>2.4726839999999997</v>
      </c>
    </row>
    <row r="37" spans="4:6" ht="13.5" thickBot="1">
      <c r="D37" s="51"/>
      <c r="E37" s="51"/>
      <c r="F37" s="69"/>
    </row>
    <row r="38" spans="1:7" ht="13.5" thickTop="1">
      <c r="A38" s="75" t="s">
        <v>346</v>
      </c>
      <c r="B38" s="221" t="s">
        <v>1816</v>
      </c>
      <c r="C38" s="77" t="str">
        <f>Fecha</f>
        <v>abr-2014</v>
      </c>
      <c r="D38" s="48"/>
      <c r="E38" s="48"/>
      <c r="F38" s="222">
        <f>SUM(F40:F49)</f>
        <v>127.331815</v>
      </c>
      <c r="G38" s="41"/>
    </row>
    <row r="39" spans="1:7" ht="13.5" thickBot="1">
      <c r="A39" s="7" t="s">
        <v>345</v>
      </c>
      <c r="B39" s="7" t="s">
        <v>1686</v>
      </c>
      <c r="C39" s="78" t="s">
        <v>344</v>
      </c>
      <c r="D39" s="49" t="s">
        <v>1821</v>
      </c>
      <c r="E39" s="50"/>
      <c r="F39" s="68"/>
      <c r="G39" s="42" t="s">
        <v>1937</v>
      </c>
    </row>
    <row r="40" spans="1:6" ht="13.5" thickTop="1">
      <c r="A40" s="82" t="s">
        <v>350</v>
      </c>
      <c r="D40" s="51"/>
      <c r="E40" s="51"/>
      <c r="F40" s="69"/>
    </row>
    <row r="41" spans="1:6" ht="12.75">
      <c r="A41" s="3" t="s">
        <v>1638</v>
      </c>
      <c r="B41" s="4" t="str">
        <f>VLOOKUP(A41,Insumos,2)</f>
        <v>hierro mejorado de 10 mm.</v>
      </c>
      <c r="C41" s="6" t="str">
        <f>VLOOKUP(A41,Insumos,3)</f>
        <v>kg</v>
      </c>
      <c r="D41" s="51">
        <v>0.3</v>
      </c>
      <c r="E41" s="51">
        <f>VLOOKUP(A41,'IN-04-14'!A7:D7,4,FALSE)</f>
        <v>9.3933</v>
      </c>
      <c r="F41" s="69">
        <f>(D41*E41)</f>
        <v>2.81799</v>
      </c>
    </row>
    <row r="42" spans="1:6" ht="12.75">
      <c r="A42" s="3" t="s">
        <v>1646</v>
      </c>
      <c r="B42" s="4" t="str">
        <f>VLOOKUP(A42,Insumos,2)</f>
        <v>cal hidratada en bolsa</v>
      </c>
      <c r="C42" s="6" t="str">
        <f>VLOOKUP(A42,Insumos,3)</f>
        <v>kg</v>
      </c>
      <c r="D42" s="51">
        <v>2.08</v>
      </c>
      <c r="E42" s="51">
        <f>VLOOKUP(A42,'IN-04-14'!A43:D917,4,FALSE)</f>
        <v>1.57</v>
      </c>
      <c r="F42" s="69">
        <f>(D42*E42)</f>
        <v>3.2656</v>
      </c>
    </row>
    <row r="43" spans="1:6" ht="12.75">
      <c r="A43" s="3" t="s">
        <v>1639</v>
      </c>
      <c r="B43" s="4" t="str">
        <f>VLOOKUP(A43,Insumos,2)</f>
        <v>cemento Portland</v>
      </c>
      <c r="C43" s="6" t="str">
        <f>VLOOKUP(A43,Insumos,3)</f>
        <v>kg</v>
      </c>
      <c r="D43" s="51">
        <v>2.31</v>
      </c>
      <c r="E43" s="51">
        <f>VLOOKUP(A43,'IN-04-14'!A44:D918,4,FALSE)</f>
        <v>1.65</v>
      </c>
      <c r="F43" s="69">
        <f>(D43*E43)</f>
        <v>3.8114999999999997</v>
      </c>
    </row>
    <row r="44" spans="1:6" ht="12.75">
      <c r="A44" s="3" t="s">
        <v>1648</v>
      </c>
      <c r="B44" s="4" t="str">
        <f>VLOOKUP(A44,Insumos,2)</f>
        <v>ladrillo hueco 6T  8x18x30</v>
      </c>
      <c r="C44" s="6" t="str">
        <f>VLOOKUP(A44,Insumos,3)</f>
        <v>u</v>
      </c>
      <c r="D44" s="51">
        <v>17</v>
      </c>
      <c r="E44" s="51">
        <f>VLOOKUP(A44,'IN-04-14'!A45:D919,4,FALSE)</f>
        <v>3</v>
      </c>
      <c r="F44" s="69">
        <f>(D44*E44)</f>
        <v>51</v>
      </c>
    </row>
    <row r="45" spans="1:6" ht="12.75">
      <c r="A45" s="3" t="s">
        <v>1641</v>
      </c>
      <c r="B45" s="4" t="str">
        <f>VLOOKUP(A45,Insumos,2)</f>
        <v>arena gruesa</v>
      </c>
      <c r="C45" s="6" t="str">
        <f>VLOOKUP(A45,Insumos,3)</f>
        <v>m3</v>
      </c>
      <c r="D45" s="51">
        <v>0.013</v>
      </c>
      <c r="E45" s="51">
        <f>VLOOKUP(A45,'IN-04-14'!A42:D42,4,FALSE)</f>
        <v>141.805</v>
      </c>
      <c r="F45" s="69">
        <f>(D45*E45)</f>
        <v>1.843465</v>
      </c>
    </row>
    <row r="46" spans="1:6" ht="12.75">
      <c r="A46" s="82" t="s">
        <v>351</v>
      </c>
      <c r="D46" s="51"/>
      <c r="E46" s="51"/>
      <c r="F46" s="69"/>
    </row>
    <row r="47" spans="1:6" ht="12.75">
      <c r="A47" s="3" t="s">
        <v>1636</v>
      </c>
      <c r="B47" s="4" t="str">
        <f>VLOOKUP(A47,Insumos,2)</f>
        <v>cuadrilla tipo UOCRA</v>
      </c>
      <c r="C47" s="6" t="str">
        <f>VLOOKUP(A47,Insumos,3)</f>
        <v>h</v>
      </c>
      <c r="D47" s="51">
        <v>1.1</v>
      </c>
      <c r="E47" s="51">
        <f>VLOOKUP(A47,'IN-04-14'!A48:D922,4,FALSE)</f>
        <v>58.06</v>
      </c>
      <c r="F47" s="69">
        <f>(D47*E47)</f>
        <v>63.86600000000001</v>
      </c>
    </row>
    <row r="48" spans="1:6" ht="12.75">
      <c r="A48" s="82" t="s">
        <v>352</v>
      </c>
      <c r="D48" s="51"/>
      <c r="E48" s="51"/>
      <c r="F48" s="69"/>
    </row>
    <row r="49" spans="1:6" ht="12.75">
      <c r="A49" s="3" t="s">
        <v>1642</v>
      </c>
      <c r="B49" s="4" t="str">
        <f>VLOOKUP(A49,Insumos,2)</f>
        <v>canasta 2 (mixer 5m3)</v>
      </c>
      <c r="C49" s="6" t="str">
        <f>VLOOKUP(A49,Insumos,3)</f>
        <v>h</v>
      </c>
      <c r="D49" s="51">
        <v>0.001</v>
      </c>
      <c r="E49" s="51">
        <f>VLOOKUP(A49,'IN-04-14'!A50:D924,4,FALSE)</f>
        <v>727.26</v>
      </c>
      <c r="F49" s="69">
        <f>(D49*E49)</f>
        <v>0.72726</v>
      </c>
    </row>
    <row r="50" spans="4:6" ht="13.5" thickBot="1">
      <c r="D50" s="51"/>
      <c r="E50" s="51"/>
      <c r="F50" s="69"/>
    </row>
    <row r="51" spans="1:7" ht="13.5" thickTop="1">
      <c r="A51" s="75" t="s">
        <v>346</v>
      </c>
      <c r="B51" s="221" t="s">
        <v>1825</v>
      </c>
      <c r="C51" s="77" t="str">
        <f>Fecha</f>
        <v>abr-2014</v>
      </c>
      <c r="D51" s="48"/>
      <c r="E51" s="48"/>
      <c r="F51" s="222">
        <f>SUM(F53:F61)</f>
        <v>157.258485</v>
      </c>
      <c r="G51" s="41"/>
    </row>
    <row r="52" spans="1:7" ht="13.5" thickBot="1">
      <c r="A52" s="7" t="s">
        <v>345</v>
      </c>
      <c r="B52" s="7" t="s">
        <v>1686</v>
      </c>
      <c r="C52" s="78" t="s">
        <v>344</v>
      </c>
      <c r="D52" s="49" t="s">
        <v>1822</v>
      </c>
      <c r="E52" s="50"/>
      <c r="F52" s="68"/>
      <c r="G52" s="42" t="s">
        <v>1937</v>
      </c>
    </row>
    <row r="53" spans="1:6" ht="13.5" thickTop="1">
      <c r="A53" s="82" t="s">
        <v>350</v>
      </c>
      <c r="D53" s="51"/>
      <c r="E53" s="51"/>
      <c r="F53" s="69"/>
    </row>
    <row r="54" spans="1:6" ht="12.75">
      <c r="A54" s="3" t="s">
        <v>1646</v>
      </c>
      <c r="B54" s="4" t="str">
        <f>VLOOKUP(A54,Insumos,2)</f>
        <v>cal hidratada en bolsa</v>
      </c>
      <c r="C54" s="6" t="str">
        <f>VLOOKUP(A54,Insumos,3)</f>
        <v>kg</v>
      </c>
      <c r="D54" s="51">
        <v>2.89</v>
      </c>
      <c r="E54" s="51">
        <f>VLOOKUP(A54,'IN-04-14'!A55:D929,4,FALSE)</f>
        <v>1.57</v>
      </c>
      <c r="F54" s="69">
        <f>(D54*E54)</f>
        <v>4.5373</v>
      </c>
    </row>
    <row r="55" spans="1:6" ht="12.75">
      <c r="A55" s="3" t="s">
        <v>1639</v>
      </c>
      <c r="B55" s="4" t="str">
        <f>VLOOKUP(A55,Insumos,2)</f>
        <v>cemento Portland</v>
      </c>
      <c r="C55" s="6" t="str">
        <f>VLOOKUP(A55,Insumos,3)</f>
        <v>kg</v>
      </c>
      <c r="D55" s="51">
        <v>3.3</v>
      </c>
      <c r="E55" s="51">
        <f>VLOOKUP(A55,'IN-04-14'!A56:D930,4,FALSE)</f>
        <v>1.65</v>
      </c>
      <c r="F55" s="69">
        <f>(D55*E55)</f>
        <v>5.444999999999999</v>
      </c>
    </row>
    <row r="56" spans="1:6" ht="12.75">
      <c r="A56" s="3" t="s">
        <v>63</v>
      </c>
      <c r="B56" s="4" t="str">
        <f>VLOOKUP(A56,Insumos,2)</f>
        <v>ladrillo hueco 8T  12x18x30</v>
      </c>
      <c r="C56" s="6" t="str">
        <f>VLOOKUP(A56,Insumos,3)</f>
        <v>u</v>
      </c>
      <c r="D56" s="51">
        <v>17</v>
      </c>
      <c r="E56" s="51">
        <f>VLOOKUP(A56,'IN-04-14'!A57:D931,4,FALSE)</f>
        <v>3.83</v>
      </c>
      <c r="F56" s="69">
        <f>(D56*E56)</f>
        <v>65.11</v>
      </c>
    </row>
    <row r="57" spans="1:6" ht="12.75">
      <c r="A57" s="3" t="s">
        <v>1641</v>
      </c>
      <c r="B57" s="4" t="str">
        <f>VLOOKUP(A57,Insumos,2)</f>
        <v>arena gruesa</v>
      </c>
      <c r="C57" s="6" t="str">
        <f>VLOOKUP(A57,Insumos,3)</f>
        <v>m3</v>
      </c>
      <c r="D57" s="51">
        <v>0.019</v>
      </c>
      <c r="E57" s="51">
        <f>VLOOKUP(A57,'IN-04-14'!A42:D42,4,FALSE)</f>
        <v>141.805</v>
      </c>
      <c r="F57" s="69">
        <f>(D57*E57)</f>
        <v>2.694295</v>
      </c>
    </row>
    <row r="58" spans="1:6" ht="12.75">
      <c r="A58" s="82" t="s">
        <v>351</v>
      </c>
      <c r="D58" s="51"/>
      <c r="E58" s="51"/>
      <c r="F58" s="69"/>
    </row>
    <row r="59" spans="1:6" ht="12.75">
      <c r="A59" s="3" t="s">
        <v>1636</v>
      </c>
      <c r="B59" s="4" t="str">
        <f>VLOOKUP(A59,Insumos,2)</f>
        <v>cuadrilla tipo UOCRA</v>
      </c>
      <c r="C59" s="6" t="str">
        <f>VLOOKUP(A59,Insumos,3)</f>
        <v>h</v>
      </c>
      <c r="D59" s="51">
        <v>1.35</v>
      </c>
      <c r="E59" s="51">
        <f>VLOOKUP(A59,'IN-04-14'!A60:D934,4,FALSE)</f>
        <v>58.06</v>
      </c>
      <c r="F59" s="69">
        <f>(D59*E59)</f>
        <v>78.38100000000001</v>
      </c>
    </row>
    <row r="60" spans="1:6" ht="12.75">
      <c r="A60" s="82" t="s">
        <v>352</v>
      </c>
      <c r="D60" s="51"/>
      <c r="E60" s="51"/>
      <c r="F60" s="69"/>
    </row>
    <row r="61" spans="1:6" ht="12.75">
      <c r="A61" s="3" t="s">
        <v>1642</v>
      </c>
      <c r="B61" s="4" t="str">
        <f>VLOOKUP(A61,Insumos,2)</f>
        <v>canasta 2 (mixer 5m3)</v>
      </c>
      <c r="C61" s="6" t="str">
        <f>VLOOKUP(A61,Insumos,3)</f>
        <v>h</v>
      </c>
      <c r="D61" s="51">
        <v>0.0015</v>
      </c>
      <c r="E61" s="51">
        <f>VLOOKUP(A61,'IN-04-14'!A62:D936,4,FALSE)</f>
        <v>727.26</v>
      </c>
      <c r="F61" s="69">
        <f>(D61*E61)</f>
        <v>1.09089</v>
      </c>
    </row>
    <row r="62" spans="4:6" ht="13.5" thickBot="1">
      <c r="D62" s="51"/>
      <c r="E62" s="51"/>
      <c r="F62" s="69"/>
    </row>
    <row r="63" spans="1:7" ht="13.5" thickTop="1">
      <c r="A63" s="75" t="s">
        <v>346</v>
      </c>
      <c r="B63" s="221" t="s">
        <v>1826</v>
      </c>
      <c r="C63" s="77" t="str">
        <f>Fecha</f>
        <v>abr-2014</v>
      </c>
      <c r="D63" s="48"/>
      <c r="E63" s="48"/>
      <c r="F63" s="222">
        <f>SUM(F65:F73)</f>
        <v>190.817255</v>
      </c>
      <c r="G63" s="41"/>
    </row>
    <row r="64" spans="1:7" ht="13.5" thickBot="1">
      <c r="A64" s="7" t="s">
        <v>345</v>
      </c>
      <c r="B64" s="7" t="s">
        <v>1686</v>
      </c>
      <c r="C64" s="78" t="s">
        <v>344</v>
      </c>
      <c r="D64" s="49" t="s">
        <v>1823</v>
      </c>
      <c r="E64" s="50"/>
      <c r="F64" s="68"/>
      <c r="G64" s="42" t="s">
        <v>1937</v>
      </c>
    </row>
    <row r="65" spans="1:6" ht="13.5" thickTop="1">
      <c r="A65" s="82" t="s">
        <v>350</v>
      </c>
      <c r="D65" s="51"/>
      <c r="E65" s="51"/>
      <c r="F65" s="69"/>
    </row>
    <row r="66" spans="1:6" ht="12.75">
      <c r="A66" s="3" t="s">
        <v>1646</v>
      </c>
      <c r="B66" s="4" t="str">
        <f>VLOOKUP(A66,Insumos,2)</f>
        <v>cal hidratada en bolsa</v>
      </c>
      <c r="C66" s="6" t="str">
        <f>VLOOKUP(A66,Insumos,3)</f>
        <v>kg</v>
      </c>
      <c r="D66" s="51">
        <v>4.2</v>
      </c>
      <c r="E66" s="51">
        <f>VLOOKUP(A66,'IN-04-14'!A67:D941,4,FALSE)</f>
        <v>1.57</v>
      </c>
      <c r="F66" s="69">
        <f>(D66*E66)</f>
        <v>6.594</v>
      </c>
    </row>
    <row r="67" spans="1:6" ht="12.75">
      <c r="A67" s="3" t="s">
        <v>1639</v>
      </c>
      <c r="B67" s="4" t="str">
        <f>VLOOKUP(A67,Insumos,2)</f>
        <v>cemento Portland</v>
      </c>
      <c r="C67" s="6" t="str">
        <f>VLOOKUP(A67,Insumos,3)</f>
        <v>kg</v>
      </c>
      <c r="D67" s="51">
        <v>2.4</v>
      </c>
      <c r="E67" s="51">
        <f>VLOOKUP(A67,'IN-04-14'!A68:D942,4,FALSE)</f>
        <v>1.65</v>
      </c>
      <c r="F67" s="69">
        <f>(D67*E67)</f>
        <v>3.9599999999999995</v>
      </c>
    </row>
    <row r="68" spans="1:6" ht="12.75">
      <c r="A68" s="3" t="s">
        <v>1824</v>
      </c>
      <c r="B68" s="4" t="str">
        <f>VLOOKUP(A68,Insumos,2)</f>
        <v>ladrillo hueco 9T 18x18x30</v>
      </c>
      <c r="C68" s="6" t="str">
        <f>VLOOKUP(A68,Insumos,3)</f>
        <v>u</v>
      </c>
      <c r="D68" s="51">
        <v>17</v>
      </c>
      <c r="E68" s="51">
        <f>VLOOKUP(A68,'IN-04-14'!A69:D943,4,FALSE)</f>
        <v>5.17</v>
      </c>
      <c r="F68" s="69">
        <f>(D68*E68)</f>
        <v>87.89</v>
      </c>
    </row>
    <row r="69" spans="1:6" ht="12.75">
      <c r="A69" s="3" t="s">
        <v>1641</v>
      </c>
      <c r="B69" s="4" t="str">
        <f>VLOOKUP(A69,Insumos,2)</f>
        <v>arena gruesa</v>
      </c>
      <c r="C69" s="6" t="str">
        <f>VLOOKUP(A69,Insumos,3)</f>
        <v>m3</v>
      </c>
      <c r="D69" s="51">
        <v>0.027</v>
      </c>
      <c r="E69" s="51">
        <f>VLOOKUP(A69,'IN-04-14'!A42:D42,4,FALSE)</f>
        <v>141.805</v>
      </c>
      <c r="F69" s="69">
        <f>(D69*E69)</f>
        <v>3.828735</v>
      </c>
    </row>
    <row r="70" spans="1:6" ht="12.75">
      <c r="A70" s="82" t="s">
        <v>351</v>
      </c>
      <c r="D70" s="51"/>
      <c r="E70" s="51"/>
      <c r="F70" s="69"/>
    </row>
    <row r="71" spans="1:6" ht="12.75">
      <c r="A71" s="3" t="s">
        <v>1636</v>
      </c>
      <c r="B71" s="4" t="str">
        <f>VLOOKUP(A71,Insumos,2)</f>
        <v>cuadrilla tipo UOCRA</v>
      </c>
      <c r="C71" s="6" t="str">
        <f>VLOOKUP(A71,Insumos,3)</f>
        <v>h</v>
      </c>
      <c r="D71" s="51">
        <v>1.5</v>
      </c>
      <c r="E71" s="51">
        <f>VLOOKUP(A71,'IN-04-14'!A72:D946,4,FALSE)</f>
        <v>58.06</v>
      </c>
      <c r="F71" s="69">
        <f>(D71*E71)</f>
        <v>87.09</v>
      </c>
    </row>
    <row r="72" spans="1:6" ht="12.75">
      <c r="A72" s="82" t="s">
        <v>352</v>
      </c>
      <c r="D72" s="51"/>
      <c r="E72" s="51"/>
      <c r="F72" s="69"/>
    </row>
    <row r="73" spans="1:6" ht="12.75">
      <c r="A73" s="3" t="s">
        <v>1642</v>
      </c>
      <c r="B73" s="4" t="str">
        <f>VLOOKUP(A73,Insumos,2)</f>
        <v>canasta 2 (mixer 5m3)</v>
      </c>
      <c r="C73" s="6" t="str">
        <f>VLOOKUP(A73,Insumos,3)</f>
        <v>h</v>
      </c>
      <c r="D73" s="51">
        <v>0.002</v>
      </c>
      <c r="E73" s="51">
        <f>VLOOKUP(A73,'IN-04-14'!A74:D948,4,FALSE)</f>
        <v>727.26</v>
      </c>
      <c r="F73" s="69">
        <f>(D73*E73)</f>
        <v>1.45452</v>
      </c>
    </row>
    <row r="74" spans="1:6" ht="13.5" thickBot="1">
      <c r="A74" s="3"/>
      <c r="B74" s="4"/>
      <c r="C74" s="6"/>
      <c r="D74" s="51"/>
      <c r="E74" s="51"/>
      <c r="F74" s="69"/>
    </row>
    <row r="75" spans="1:7" ht="13.5" thickTop="1">
      <c r="A75" s="75" t="s">
        <v>346</v>
      </c>
      <c r="B75" s="221" t="s">
        <v>1870</v>
      </c>
      <c r="C75" s="77" t="str">
        <f>Fecha</f>
        <v>abr-2014</v>
      </c>
      <c r="D75" s="48"/>
      <c r="E75" s="48"/>
      <c r="F75" s="222">
        <f>SUM(F77:F85)</f>
        <v>187.28725500000002</v>
      </c>
      <c r="G75" s="41"/>
    </row>
    <row r="76" spans="1:7" ht="13.5" thickBot="1">
      <c r="A76" s="7" t="s">
        <v>345</v>
      </c>
      <c r="B76" s="7" t="s">
        <v>1686</v>
      </c>
      <c r="C76" s="78" t="s">
        <v>344</v>
      </c>
      <c r="D76" s="49" t="s">
        <v>1918</v>
      </c>
      <c r="E76" s="50"/>
      <c r="F76" s="68"/>
      <c r="G76" s="42" t="s">
        <v>1937</v>
      </c>
    </row>
    <row r="77" spans="1:6" ht="13.5" thickTop="1">
      <c r="A77" s="82" t="s">
        <v>350</v>
      </c>
      <c r="D77" s="51"/>
      <c r="E77" s="51"/>
      <c r="F77" s="69"/>
    </row>
    <row r="78" spans="1:6" ht="12.75">
      <c r="A78" s="3" t="s">
        <v>1646</v>
      </c>
      <c r="B78" s="4" t="str">
        <f>VLOOKUP(A78,Insumos,2)</f>
        <v>cal hidratada en bolsa</v>
      </c>
      <c r="C78" s="6" t="str">
        <f>VLOOKUP(A78,Insumos,3)</f>
        <v>kg</v>
      </c>
      <c r="D78" s="51">
        <v>4.2</v>
      </c>
      <c r="E78" s="51">
        <f>VLOOKUP(A78,'IN-04-14'!A79:D953,4,FALSE)</f>
        <v>1.57</v>
      </c>
      <c r="F78" s="69">
        <f>(D78*E78)</f>
        <v>6.594</v>
      </c>
    </row>
    <row r="79" spans="1:6" ht="12.75">
      <c r="A79" s="3" t="s">
        <v>1639</v>
      </c>
      <c r="B79" s="4" t="str">
        <f>VLOOKUP(A79,Insumos,2)</f>
        <v>cemento Portland</v>
      </c>
      <c r="C79" s="6" t="str">
        <f>VLOOKUP(A79,Insumos,3)</f>
        <v>kg</v>
      </c>
      <c r="D79" s="51">
        <v>2.4</v>
      </c>
      <c r="E79" s="51">
        <f>VLOOKUP(A79,'IN-04-14'!A80:D954,4,FALSE)</f>
        <v>1.65</v>
      </c>
      <c r="F79" s="69">
        <f>(D79*E79)</f>
        <v>3.9599999999999995</v>
      </c>
    </row>
    <row r="80" spans="1:6" ht="12.75">
      <c r="A80" s="3" t="s">
        <v>1871</v>
      </c>
      <c r="B80" s="4" t="str">
        <f>VLOOKUP(A80,Insumos,2)</f>
        <v>ladrillo hueco portante 18x 18x30</v>
      </c>
      <c r="C80" s="6" t="str">
        <f>VLOOKUP(A80,Insumos,3)</f>
        <v>u</v>
      </c>
      <c r="D80" s="51">
        <v>12</v>
      </c>
      <c r="E80" s="51">
        <f>VLOOKUP(A80,'IN-04-14'!A81:D955,4,FALSE)</f>
        <v>7.03</v>
      </c>
      <c r="F80" s="69">
        <f>(D80*E80)</f>
        <v>84.36</v>
      </c>
    </row>
    <row r="81" spans="1:6" ht="12.75">
      <c r="A81" s="3" t="s">
        <v>1641</v>
      </c>
      <c r="B81" s="4" t="str">
        <f>VLOOKUP(A81,Insumos,2)</f>
        <v>arena gruesa</v>
      </c>
      <c r="C81" s="6" t="str">
        <f>VLOOKUP(A81,Insumos,3)</f>
        <v>m3</v>
      </c>
      <c r="D81" s="51">
        <v>0.027</v>
      </c>
      <c r="E81" s="51">
        <f>VLOOKUP(A81,'IN-04-14'!A42:D42,4,FALSE)</f>
        <v>141.805</v>
      </c>
      <c r="F81" s="69">
        <f>(D81*E81)</f>
        <v>3.828735</v>
      </c>
    </row>
    <row r="82" spans="1:6" ht="12.75">
      <c r="A82" s="82" t="s">
        <v>351</v>
      </c>
      <c r="D82" s="51"/>
      <c r="E82" s="51"/>
      <c r="F82" s="69"/>
    </row>
    <row r="83" spans="1:6" ht="12.75">
      <c r="A83" s="3" t="s">
        <v>1636</v>
      </c>
      <c r="B83" s="4" t="str">
        <f>VLOOKUP(A83,Insumos,2)</f>
        <v>cuadrilla tipo UOCRA</v>
      </c>
      <c r="C83" s="6" t="str">
        <f>VLOOKUP(A83,Insumos,3)</f>
        <v>h</v>
      </c>
      <c r="D83" s="51">
        <v>1.5</v>
      </c>
      <c r="E83" s="51">
        <f>VLOOKUP(A83,'IN-04-14'!A84:D958,4,FALSE)</f>
        <v>58.06</v>
      </c>
      <c r="F83" s="69">
        <f>(D83*E83)</f>
        <v>87.09</v>
      </c>
    </row>
    <row r="84" spans="1:6" ht="12.75">
      <c r="A84" s="82" t="s">
        <v>352</v>
      </c>
      <c r="D84" s="51"/>
      <c r="E84" s="51"/>
      <c r="F84" s="69"/>
    </row>
    <row r="85" spans="1:6" ht="12.75">
      <c r="A85" s="3" t="s">
        <v>1642</v>
      </c>
      <c r="B85" s="4" t="str">
        <f>VLOOKUP(A85,Insumos,2)</f>
        <v>canasta 2 (mixer 5m3)</v>
      </c>
      <c r="C85" s="6" t="str">
        <f>VLOOKUP(A85,Insumos,3)</f>
        <v>h</v>
      </c>
      <c r="D85" s="51">
        <v>0.002</v>
      </c>
      <c r="E85" s="51">
        <f>VLOOKUP(A85,'IN-04-14'!A86:D960,4,FALSE)</f>
        <v>727.26</v>
      </c>
      <c r="F85" s="69">
        <f>(D85*E85)</f>
        <v>1.45452</v>
      </c>
    </row>
    <row r="86" spans="1:6" ht="13.5" thickBot="1">
      <c r="A86" s="3"/>
      <c r="B86" s="4"/>
      <c r="C86" s="6"/>
      <c r="D86" s="51"/>
      <c r="E86" s="51"/>
      <c r="F86" s="69"/>
    </row>
    <row r="87" spans="1:7" ht="13.5" thickTop="1">
      <c r="A87" s="75" t="s">
        <v>346</v>
      </c>
      <c r="B87" s="221" t="s">
        <v>1853</v>
      </c>
      <c r="C87" s="77" t="str">
        <f>Fecha</f>
        <v>abr-2014</v>
      </c>
      <c r="D87" s="48"/>
      <c r="E87" s="48"/>
      <c r="F87" s="222">
        <f>SUM(F89:F97)</f>
        <v>260.743543</v>
      </c>
      <c r="G87" s="41"/>
    </row>
    <row r="88" spans="1:7" ht="13.5" thickBot="1">
      <c r="A88" s="7" t="s">
        <v>345</v>
      </c>
      <c r="B88" s="7" t="s">
        <v>1686</v>
      </c>
      <c r="C88" s="78" t="s">
        <v>344</v>
      </c>
      <c r="D88" s="49" t="s">
        <v>1849</v>
      </c>
      <c r="E88" s="50"/>
      <c r="F88" s="68"/>
      <c r="G88" s="42" t="s">
        <v>1937</v>
      </c>
    </row>
    <row r="89" spans="1:6" ht="13.5" thickTop="1">
      <c r="A89" s="82" t="s">
        <v>350</v>
      </c>
      <c r="D89" s="51"/>
      <c r="E89" s="51"/>
      <c r="F89" s="69"/>
    </row>
    <row r="90" spans="1:6" ht="12.75">
      <c r="A90" s="3" t="s">
        <v>1646</v>
      </c>
      <c r="B90" s="4" t="str">
        <f>VLOOKUP(A90,Insumos,2)</f>
        <v>cal hidratada en bolsa</v>
      </c>
      <c r="C90" s="6" t="str">
        <f>VLOOKUP(A90,Insumos,3)</f>
        <v>kg</v>
      </c>
      <c r="D90" s="51">
        <v>2.015</v>
      </c>
      <c r="E90" s="51">
        <f>VLOOKUP(A90,'IN-04-14'!A91:D965,4,FALSE)</f>
        <v>1.57</v>
      </c>
      <c r="F90" s="69">
        <f>(D90*E90)</f>
        <v>3.1635500000000003</v>
      </c>
    </row>
    <row r="91" spans="1:6" ht="12.75">
      <c r="A91" s="3" t="s">
        <v>1639</v>
      </c>
      <c r="B91" s="4" t="str">
        <f>VLOOKUP(A91,Insumos,2)</f>
        <v>cemento Portland</v>
      </c>
      <c r="C91" s="6" t="str">
        <f>VLOOKUP(A91,Insumos,3)</f>
        <v>kg</v>
      </c>
      <c r="D91" s="51">
        <v>2.318</v>
      </c>
      <c r="E91" s="51">
        <f>VLOOKUP(A91,'IN-04-14'!A92:D966,4,FALSE)</f>
        <v>1.65</v>
      </c>
      <c r="F91" s="69">
        <f>(D91*E91)</f>
        <v>3.8247</v>
      </c>
    </row>
    <row r="92" spans="1:6" ht="12.75">
      <c r="A92" s="3" t="s">
        <v>1649</v>
      </c>
      <c r="B92" s="4" t="str">
        <f>VLOOKUP(A92,Insumos,2)</f>
        <v>bloque de H° de 19 x 19 x 39</v>
      </c>
      <c r="C92" s="6" t="str">
        <f>VLOOKUP(A92,Insumos,3)</f>
        <v>u</v>
      </c>
      <c r="D92" s="51">
        <v>13</v>
      </c>
      <c r="E92" s="51">
        <f>VLOOKUP(A92,'IN-04-14'!A54:D54,4,FALSE)</f>
        <v>11.57</v>
      </c>
      <c r="F92" s="69">
        <f>(D92*E92)</f>
        <v>150.41</v>
      </c>
    </row>
    <row r="93" spans="1:6" ht="12.75">
      <c r="A93" s="3" t="s">
        <v>1641</v>
      </c>
      <c r="B93" s="4" t="str">
        <f>VLOOKUP(A93,Insumos,2)</f>
        <v>arena gruesa</v>
      </c>
      <c r="C93" s="6" t="str">
        <f>VLOOKUP(A93,Insumos,3)</f>
        <v>m3</v>
      </c>
      <c r="D93" s="51">
        <v>0.013</v>
      </c>
      <c r="E93" s="51">
        <f>VLOOKUP(A93,'IN-04-14'!A42:D42,4,FALSE)</f>
        <v>141.805</v>
      </c>
      <c r="F93" s="69">
        <f>(D93*E93)</f>
        <v>1.843465</v>
      </c>
    </row>
    <row r="94" spans="1:6" ht="12.75">
      <c r="A94" s="82" t="s">
        <v>351</v>
      </c>
      <c r="D94" s="51"/>
      <c r="E94" s="51"/>
      <c r="F94" s="69"/>
    </row>
    <row r="95" spans="1:6" ht="12.75">
      <c r="A95" s="3" t="s">
        <v>1636</v>
      </c>
      <c r="B95" s="4" t="str">
        <f>VLOOKUP(A95,Insumos,2)</f>
        <v>cuadrilla tipo UOCRA</v>
      </c>
      <c r="C95" s="6" t="str">
        <f>VLOOKUP(A95,Insumos,3)</f>
        <v>h</v>
      </c>
      <c r="D95" s="51">
        <v>1.4</v>
      </c>
      <c r="E95" s="51">
        <f>VLOOKUP(A95,'IN-04-14'!A96:D970,4,FALSE)</f>
        <v>58.06</v>
      </c>
      <c r="F95" s="69">
        <f>(D95*E95)</f>
        <v>81.28399999999999</v>
      </c>
    </row>
    <row r="96" spans="1:6" ht="12.75">
      <c r="A96" s="82" t="s">
        <v>352</v>
      </c>
      <c r="D96" s="51"/>
      <c r="E96" s="51"/>
      <c r="F96" s="69"/>
    </row>
    <row r="97" spans="1:6" ht="12.75">
      <c r="A97" s="3" t="s">
        <v>1642</v>
      </c>
      <c r="B97" s="4" t="str">
        <f>VLOOKUP(A97,Insumos,2)</f>
        <v>canasta 2 (mixer 5m3)</v>
      </c>
      <c r="C97" s="6" t="str">
        <f>VLOOKUP(A97,Insumos,3)</f>
        <v>h</v>
      </c>
      <c r="D97" s="51">
        <v>0.0278</v>
      </c>
      <c r="E97" s="51">
        <f>VLOOKUP(A97,'IN-04-14'!A98:D972,4,FALSE)</f>
        <v>727.26</v>
      </c>
      <c r="F97" s="69">
        <f>(D97*E97)</f>
        <v>20.217827999999997</v>
      </c>
    </row>
    <row r="98" ht="13.5" thickBot="1"/>
    <row r="99" spans="1:7" ht="13.5" thickTop="1">
      <c r="A99" s="75" t="s">
        <v>346</v>
      </c>
      <c r="B99" s="221" t="s">
        <v>377</v>
      </c>
      <c r="C99" s="77" t="str">
        <f>Fecha</f>
        <v>abr-2014</v>
      </c>
      <c r="D99" s="48" t="s">
        <v>1898</v>
      </c>
      <c r="E99" s="48"/>
      <c r="F99" s="222">
        <f>SUM(F101:F110)</f>
        <v>1893.9032690000001</v>
      </c>
      <c r="G99" s="41"/>
    </row>
    <row r="100" spans="1:7" ht="13.5" thickBot="1">
      <c r="A100" s="7" t="s">
        <v>345</v>
      </c>
      <c r="B100" s="7" t="s">
        <v>1686</v>
      </c>
      <c r="C100" s="78" t="s">
        <v>344</v>
      </c>
      <c r="D100" s="49" t="s">
        <v>390</v>
      </c>
      <c r="E100" s="50"/>
      <c r="F100" s="68"/>
      <c r="G100" s="42" t="s">
        <v>1984</v>
      </c>
    </row>
    <row r="101" spans="1:6" ht="13.5" thickTop="1">
      <c r="A101" s="82" t="s">
        <v>350</v>
      </c>
      <c r="D101" s="51"/>
      <c r="E101" s="51"/>
      <c r="F101" s="69"/>
    </row>
    <row r="102" spans="1:6" ht="12.75">
      <c r="A102" s="3" t="s">
        <v>1646</v>
      </c>
      <c r="B102" s="4" t="str">
        <f>VLOOKUP(A102,Insumos,2)</f>
        <v>cal hidratada en bolsa</v>
      </c>
      <c r="C102" s="6" t="str">
        <f>VLOOKUP(A102,Insumos,3)</f>
        <v>kg</v>
      </c>
      <c r="D102" s="51">
        <v>57.6</v>
      </c>
      <c r="E102" s="51">
        <f>VLOOKUP(A102,'IN-04-14'!A103:D977,4,FALSE)</f>
        <v>1.57</v>
      </c>
      <c r="F102" s="69">
        <f>(D102*E102)</f>
        <v>90.432</v>
      </c>
    </row>
    <row r="103" spans="1:6" ht="12.75">
      <c r="A103" s="3" t="s">
        <v>1639</v>
      </c>
      <c r="B103" s="4" t="str">
        <f>VLOOKUP(A103,Insumos,2)</f>
        <v>cemento Portland</v>
      </c>
      <c r="C103" s="6" t="str">
        <f>VLOOKUP(A103,Insumos,3)</f>
        <v>kg</v>
      </c>
      <c r="D103" s="51">
        <f>34.2+25</f>
        <v>59.2</v>
      </c>
      <c r="E103" s="51">
        <f>VLOOKUP(A103,'IN-04-14'!A104:D978,4,FALSE)</f>
        <v>1.65</v>
      </c>
      <c r="F103" s="69">
        <f>(D103*E103)</f>
        <v>97.67999999999999</v>
      </c>
    </row>
    <row r="104" spans="1:6" ht="12.75">
      <c r="A104" s="3" t="s">
        <v>1638</v>
      </c>
      <c r="B104" s="4" t="str">
        <f>VLOOKUP(A104,Insumos,2)</f>
        <v>hierro mejorado de 10 mm.</v>
      </c>
      <c r="C104" s="6" t="str">
        <f>VLOOKUP(A104,Insumos,3)</f>
        <v>kg</v>
      </c>
      <c r="D104" s="51">
        <v>2.2</v>
      </c>
      <c r="E104" s="51">
        <f>VLOOKUP(A104,'IN-04-14'!A7:D7,4,FALSE)</f>
        <v>9.3933</v>
      </c>
      <c r="F104" s="69">
        <f>(D104*E104)</f>
        <v>20.66526</v>
      </c>
    </row>
    <row r="105" spans="1:6" ht="12.75">
      <c r="A105" s="3" t="s">
        <v>1647</v>
      </c>
      <c r="B105" s="4" t="str">
        <f>VLOOKUP(A105,Insumos,2)</f>
        <v>ladrillo común de 1ra.calidad</v>
      </c>
      <c r="C105" s="6" t="str">
        <f>VLOOKUP(A105,Insumos,3)</f>
        <v>mil</v>
      </c>
      <c r="D105" s="51">
        <v>0.4</v>
      </c>
      <c r="E105" s="51">
        <f>VLOOKUP(A105,'IN-04-14'!A106:D980,4,FALSE)</f>
        <v>1800</v>
      </c>
      <c r="F105" s="69">
        <f>(D105*E105)</f>
        <v>720</v>
      </c>
    </row>
    <row r="106" spans="1:6" ht="12.75">
      <c r="A106" s="3" t="s">
        <v>1641</v>
      </c>
      <c r="B106" s="4" t="str">
        <f>VLOOKUP(A106,Insumos,2)</f>
        <v>arena gruesa</v>
      </c>
      <c r="C106" s="6" t="str">
        <f>VLOOKUP(A106,Insumos,3)</f>
        <v>m3</v>
      </c>
      <c r="D106" s="51">
        <v>0.385</v>
      </c>
      <c r="E106" s="51">
        <f>VLOOKUP(A106,'IN-04-14'!A42:D42,4,FALSE)</f>
        <v>141.805</v>
      </c>
      <c r="F106" s="69">
        <f>(D106*E106)</f>
        <v>54.594925</v>
      </c>
    </row>
    <row r="107" spans="1:6" ht="12.75">
      <c r="A107" s="82" t="s">
        <v>351</v>
      </c>
      <c r="D107" s="51"/>
      <c r="E107" s="51"/>
      <c r="F107" s="69"/>
    </row>
    <row r="108" spans="1:6" ht="12.75">
      <c r="A108" s="3" t="s">
        <v>1636</v>
      </c>
      <c r="B108" s="4" t="str">
        <f>VLOOKUP(A108,Insumos,2)</f>
        <v>cuadrilla tipo UOCRA</v>
      </c>
      <c r="C108" s="6" t="str">
        <f>VLOOKUP(A108,Insumos,3)</f>
        <v>h</v>
      </c>
      <c r="D108" s="51">
        <f>13.64+2</f>
        <v>15.64</v>
      </c>
      <c r="E108" s="51">
        <f>VLOOKUP(A108,'IN-04-14'!A109:D983,4,FALSE)</f>
        <v>58.06</v>
      </c>
      <c r="F108" s="69">
        <f>(D108*E108)</f>
        <v>908.0584000000001</v>
      </c>
    </row>
    <row r="109" spans="1:6" ht="12.75">
      <c r="A109" s="82" t="s">
        <v>352</v>
      </c>
      <c r="D109" s="51"/>
      <c r="E109" s="51"/>
      <c r="F109" s="69"/>
    </row>
    <row r="110" spans="1:6" ht="12.75">
      <c r="A110" s="3" t="s">
        <v>1642</v>
      </c>
      <c r="B110" s="4" t="str">
        <f>VLOOKUP(A110,Insumos,2)</f>
        <v>canasta 2 (mixer 5m3)</v>
      </c>
      <c r="C110" s="6" t="str">
        <f>VLOOKUP(A110,Insumos,3)</f>
        <v>h</v>
      </c>
      <c r="D110" s="51">
        <v>0.0034</v>
      </c>
      <c r="E110" s="51">
        <f>VLOOKUP(A110,'IN-04-14'!A110:D110,4,FALSE)</f>
        <v>727.26</v>
      </c>
      <c r="F110" s="69">
        <f>(D110*E110)</f>
        <v>2.4726839999999997</v>
      </c>
    </row>
    <row r="111" ht="13.5" thickBot="1"/>
    <row r="112" spans="1:7" ht="13.5" thickTop="1">
      <c r="A112" s="75" t="s">
        <v>346</v>
      </c>
      <c r="B112" s="221" t="s">
        <v>391</v>
      </c>
      <c r="C112" s="77" t="str">
        <f>Fecha</f>
        <v>abr-2014</v>
      </c>
      <c r="D112" s="48" t="s">
        <v>1898</v>
      </c>
      <c r="E112" s="48"/>
      <c r="F112" s="222">
        <f>SUM(F114:F125)</f>
        <v>1911.1124513800003</v>
      </c>
      <c r="G112" s="41"/>
    </row>
    <row r="113" spans="1:7" ht="13.5" thickBot="1">
      <c r="A113" s="7" t="s">
        <v>345</v>
      </c>
      <c r="B113" s="7" t="s">
        <v>1686</v>
      </c>
      <c r="C113" s="78" t="s">
        <v>344</v>
      </c>
      <c r="D113" s="49" t="s">
        <v>389</v>
      </c>
      <c r="E113" s="50"/>
      <c r="F113" s="68"/>
      <c r="G113" s="42" t="s">
        <v>1984</v>
      </c>
    </row>
    <row r="114" spans="1:6" ht="13.5" thickTop="1">
      <c r="A114" s="82" t="s">
        <v>350</v>
      </c>
      <c r="D114" s="51"/>
      <c r="E114" s="51"/>
      <c r="F114" s="69"/>
    </row>
    <row r="115" spans="1:6" ht="12.75">
      <c r="A115" s="2" t="s">
        <v>1645</v>
      </c>
      <c r="B115" s="4" t="str">
        <f aca="true" t="shared" si="0" ref="B115:B121">VLOOKUP(A115,Insumos,2)</f>
        <v>poliestireno expandido 20 mm</v>
      </c>
      <c r="C115" s="6" t="str">
        <f aca="true" t="shared" si="1" ref="C115:C121">VLOOKUP(A115,Insumos,3)</f>
        <v>m2</v>
      </c>
      <c r="D115" s="51">
        <f>0.434*1.3</f>
        <v>0.5642</v>
      </c>
      <c r="E115" s="51">
        <f>VLOOKUP(A115,'IN-04-14'!A39:D39,4,FALSE)</f>
        <v>16.9639</v>
      </c>
      <c r="F115" s="69">
        <f aca="true" t="shared" si="2" ref="F115:F121">(D115*E115)</f>
        <v>9.57103238</v>
      </c>
    </row>
    <row r="116" spans="1:6" ht="12.75">
      <c r="A116" s="2" t="s">
        <v>1657</v>
      </c>
      <c r="B116" s="4" t="str">
        <f t="shared" si="0"/>
        <v>chapa H°G° N°27, 3.05 x 1.10 m.</v>
      </c>
      <c r="C116" s="6" t="str">
        <f t="shared" si="1"/>
        <v>u</v>
      </c>
      <c r="D116" s="51">
        <f>0.03*1.3</f>
        <v>0.039</v>
      </c>
      <c r="E116" s="51">
        <f>VLOOKUP(A116,'IN-04-14'!A63:D63,4,FALSE)</f>
        <v>195.85</v>
      </c>
      <c r="F116" s="69">
        <f t="shared" si="2"/>
        <v>7.6381499999999996</v>
      </c>
    </row>
    <row r="117" spans="1:6" ht="12.75">
      <c r="A117" s="3" t="s">
        <v>1646</v>
      </c>
      <c r="B117" s="4" t="str">
        <f t="shared" si="0"/>
        <v>cal hidratada en bolsa</v>
      </c>
      <c r="C117" s="6" t="str">
        <f t="shared" si="1"/>
        <v>kg</v>
      </c>
      <c r="D117" s="51">
        <v>57.6</v>
      </c>
      <c r="E117" s="51">
        <f>VLOOKUP(A117,'IN-04-14'!A118:D992,4,FALSE)</f>
        <v>1.57</v>
      </c>
      <c r="F117" s="69">
        <f t="shared" si="2"/>
        <v>90.432</v>
      </c>
    </row>
    <row r="118" spans="1:6" ht="12.75">
      <c r="A118" s="3" t="s">
        <v>1639</v>
      </c>
      <c r="B118" s="4" t="str">
        <f t="shared" si="0"/>
        <v>cemento Portland</v>
      </c>
      <c r="C118" s="6" t="str">
        <f t="shared" si="1"/>
        <v>kg</v>
      </c>
      <c r="D118" s="51">
        <f>34.2+25</f>
        <v>59.2</v>
      </c>
      <c r="E118" s="51">
        <f>VLOOKUP(A118,'IN-04-14'!A119:D993,4,FALSE)</f>
        <v>1.65</v>
      </c>
      <c r="F118" s="69">
        <f t="shared" si="2"/>
        <v>97.67999999999999</v>
      </c>
    </row>
    <row r="119" spans="1:6" ht="12.75">
      <c r="A119" s="3" t="s">
        <v>1638</v>
      </c>
      <c r="B119" s="4" t="str">
        <f t="shared" si="0"/>
        <v>hierro mejorado de 10 mm.</v>
      </c>
      <c r="C119" s="6" t="str">
        <f t="shared" si="1"/>
        <v>kg</v>
      </c>
      <c r="D119" s="51">
        <v>2.2</v>
      </c>
      <c r="E119" s="51">
        <f>VLOOKUP(A119,'IN-04-14'!A7:D7,4,FALSE)</f>
        <v>9.3933</v>
      </c>
      <c r="F119" s="69">
        <f t="shared" si="2"/>
        <v>20.66526</v>
      </c>
    </row>
    <row r="120" spans="1:6" ht="12.75">
      <c r="A120" s="3" t="s">
        <v>1647</v>
      </c>
      <c r="B120" s="4" t="str">
        <f t="shared" si="0"/>
        <v>ladrillo común de 1ra.calidad</v>
      </c>
      <c r="C120" s="6" t="str">
        <f t="shared" si="1"/>
        <v>mil</v>
      </c>
      <c r="D120" s="51">
        <v>0.4</v>
      </c>
      <c r="E120" s="51">
        <f>VLOOKUP(A120,'IN-04-14'!A121:D995,4,FALSE)</f>
        <v>1800</v>
      </c>
      <c r="F120" s="69">
        <f t="shared" si="2"/>
        <v>720</v>
      </c>
    </row>
    <row r="121" spans="1:6" ht="12.75">
      <c r="A121" s="3" t="s">
        <v>1641</v>
      </c>
      <c r="B121" s="4" t="str">
        <f t="shared" si="0"/>
        <v>arena gruesa</v>
      </c>
      <c r="C121" s="6" t="str">
        <f t="shared" si="1"/>
        <v>m3</v>
      </c>
      <c r="D121" s="51">
        <v>0.385</v>
      </c>
      <c r="E121" s="51">
        <f>VLOOKUP(A121,'IN-04-14'!A42:D42,4,FALSE)</f>
        <v>141.805</v>
      </c>
      <c r="F121" s="69">
        <f t="shared" si="2"/>
        <v>54.594925</v>
      </c>
    </row>
    <row r="122" spans="1:6" ht="12.75">
      <c r="A122" s="82" t="s">
        <v>351</v>
      </c>
      <c r="D122" s="51"/>
      <c r="E122" s="51"/>
      <c r="F122" s="69"/>
    </row>
    <row r="123" spans="1:6" ht="12.75">
      <c r="A123" s="3" t="s">
        <v>1636</v>
      </c>
      <c r="B123" s="4" t="str">
        <f>VLOOKUP(A123,Insumos,2)</f>
        <v>cuadrilla tipo UOCRA</v>
      </c>
      <c r="C123" s="6" t="str">
        <f>VLOOKUP(A123,Insumos,3)</f>
        <v>h</v>
      </c>
      <c r="D123" s="51">
        <f>13.64+2</f>
        <v>15.64</v>
      </c>
      <c r="E123" s="51">
        <f>VLOOKUP(A123,'IN-04-14'!A124:D998,4,FALSE)</f>
        <v>58.06</v>
      </c>
      <c r="F123" s="69">
        <f>(D123*E123)</f>
        <v>908.0584000000001</v>
      </c>
    </row>
    <row r="124" spans="1:6" ht="12.75">
      <c r="A124" s="82" t="s">
        <v>352</v>
      </c>
      <c r="D124" s="51"/>
      <c r="E124" s="51"/>
      <c r="F124" s="69"/>
    </row>
    <row r="125" spans="1:6" ht="12.75">
      <c r="A125" s="3" t="s">
        <v>1642</v>
      </c>
      <c r="B125" s="4" t="str">
        <f>VLOOKUP(A125,Insumos,2)</f>
        <v>canasta 2 (mixer 5m3)</v>
      </c>
      <c r="C125" s="6" t="str">
        <f>VLOOKUP(A125,Insumos,3)</f>
        <v>h</v>
      </c>
      <c r="D125" s="51">
        <v>0.0034</v>
      </c>
      <c r="E125" s="51">
        <f>VLOOKUP(A125,'IN-04-14'!A110:D110,4,FALSE)</f>
        <v>727.26</v>
      </c>
      <c r="F125" s="69">
        <f>(D125*E125)</f>
        <v>2.4726839999999997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3"/>
  </sheetPr>
  <dimension ref="A1:G14"/>
  <sheetViews>
    <sheetView showGridLines="0" zoomScale="90" zoomScaleNormal="90" zoomScaleSheetLayoutView="75" zoomScalePageLayoutView="0" workbookViewId="0" topLeftCell="A1">
      <selection activeCell="A8" sqref="A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346</v>
      </c>
      <c r="B2" s="221" t="s">
        <v>1828</v>
      </c>
      <c r="C2" s="77" t="str">
        <f>Fecha</f>
        <v>abr-2014</v>
      </c>
      <c r="D2" s="48"/>
      <c r="E2" s="48"/>
      <c r="F2" s="222">
        <f>SUM(F4:F13)</f>
        <v>63.344944600000005</v>
      </c>
      <c r="G2" s="41"/>
    </row>
    <row r="3" spans="1:7" ht="13.5" thickBot="1">
      <c r="A3" s="7" t="s">
        <v>345</v>
      </c>
      <c r="B3" s="7" t="s">
        <v>1687</v>
      </c>
      <c r="C3" s="78" t="s">
        <v>344</v>
      </c>
      <c r="D3" s="49" t="s">
        <v>1734</v>
      </c>
      <c r="E3" s="50"/>
      <c r="F3" s="68"/>
      <c r="G3" s="42" t="s">
        <v>1937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1639</v>
      </c>
      <c r="B5" s="4" t="str">
        <f>VLOOKUP(A5,Insumos,2)</f>
        <v>cemento Portland</v>
      </c>
      <c r="C5" s="6" t="str">
        <f>VLOOKUP(A5,Insumos,3)</f>
        <v>kg</v>
      </c>
      <c r="D5" s="51">
        <f>+D8*500</f>
        <v>10</v>
      </c>
      <c r="E5" s="51">
        <f>VLOOKUP(A5,'IN-04-14'!A244:D244,4,FALSE)</f>
        <v>1.65</v>
      </c>
      <c r="F5" s="69">
        <f>(D5*E5)</f>
        <v>16.5</v>
      </c>
    </row>
    <row r="6" spans="1:6" ht="12.75">
      <c r="A6" s="3" t="s">
        <v>46</v>
      </c>
      <c r="B6" s="4" t="str">
        <f>VLOOKUP(A6,Insumos,2)</f>
        <v>plástico 100 micrones</v>
      </c>
      <c r="C6" s="6" t="str">
        <f>VLOOKUP(A6,Insumos,3)</f>
        <v>m2</v>
      </c>
      <c r="D6" s="51">
        <v>1.05</v>
      </c>
      <c r="E6" s="51">
        <f>VLOOKUP(A6,'IN-04-14'!A36:D36,4,FALSE)</f>
        <v>2.35</v>
      </c>
      <c r="F6" s="69">
        <f>(D6*E6)</f>
        <v>2.4675000000000002</v>
      </c>
    </row>
    <row r="7" spans="1:6" ht="12.75">
      <c r="A7" s="232" t="s">
        <v>517</v>
      </c>
      <c r="B7" s="4" t="str">
        <f>VLOOKUP(A7,Insumos,2)</f>
        <v>hidrófugo</v>
      </c>
      <c r="C7" s="6" t="str">
        <f>VLOOKUP(A7,Insumos,3)</f>
        <v>l</v>
      </c>
      <c r="D7" s="51">
        <v>0.25</v>
      </c>
      <c r="E7" s="51">
        <f>VLOOKUP(A7,'IN-04-14'!A32:D32,4,FALSE)</f>
        <v>6.6233</v>
      </c>
      <c r="F7" s="69">
        <f>(D7*E7)</f>
        <v>1.655825</v>
      </c>
    </row>
    <row r="8" spans="1:6" ht="12.75">
      <c r="A8" s="3" t="s">
        <v>1641</v>
      </c>
      <c r="B8" s="4" t="str">
        <f>VLOOKUP(A8,Insumos,2)</f>
        <v>arena gruesa</v>
      </c>
      <c r="C8" s="6" t="str">
        <f>VLOOKUP(A8,Insumos,3)</f>
        <v>m3</v>
      </c>
      <c r="D8" s="51">
        <v>0.02</v>
      </c>
      <c r="E8" s="51">
        <f>VLOOKUP(A8,'IN-04-14'!A42:D42,4,FALSE)</f>
        <v>141.805</v>
      </c>
      <c r="F8" s="69">
        <f>(D8*E8)</f>
        <v>2.8361</v>
      </c>
    </row>
    <row r="9" spans="1:6" ht="12.75">
      <c r="A9" s="3" t="s">
        <v>1682</v>
      </c>
      <c r="B9" s="4" t="str">
        <f>VLOOKUP(A9,Insumos,2)</f>
        <v>pintura asfáltica secado rapido</v>
      </c>
      <c r="C9" s="6" t="str">
        <f>VLOOKUP(A9,Insumos,3)</f>
        <v>l</v>
      </c>
      <c r="D9" s="51">
        <v>0.25</v>
      </c>
      <c r="E9" s="51">
        <f>VLOOKUP(A9,'IN-04-14'!A288:D288,4,FALSE)</f>
        <v>17.1</v>
      </c>
      <c r="F9" s="69">
        <f>(D9*E9)</f>
        <v>4.275</v>
      </c>
    </row>
    <row r="10" spans="1:6" ht="12.75">
      <c r="A10" s="82" t="s">
        <v>351</v>
      </c>
      <c r="D10" s="51"/>
      <c r="E10" s="51"/>
      <c r="F10" s="69"/>
    </row>
    <row r="11" spans="1:6" ht="12.75">
      <c r="A11" s="3" t="s">
        <v>1636</v>
      </c>
      <c r="B11" s="4" t="str">
        <f>VLOOKUP(A11,Insumos,2)</f>
        <v>cuadrilla tipo UOCRA</v>
      </c>
      <c r="C11" s="6" t="str">
        <f>VLOOKUP(A11,Insumos,3)</f>
        <v>h</v>
      </c>
      <c r="D11" s="51">
        <v>0.57</v>
      </c>
      <c r="E11" s="51">
        <f>VLOOKUP(A11,'IN-04-14'!A274:D274,4,FALSE)</f>
        <v>58.06</v>
      </c>
      <c r="F11" s="69">
        <f>(D11*E11)</f>
        <v>33.0942</v>
      </c>
    </row>
    <row r="12" spans="1:6" ht="12.75">
      <c r="A12" s="82" t="s">
        <v>352</v>
      </c>
      <c r="D12" s="51"/>
      <c r="E12" s="51"/>
      <c r="F12" s="69"/>
    </row>
    <row r="13" spans="1:6" ht="12.75">
      <c r="A13" s="3" t="s">
        <v>1642</v>
      </c>
      <c r="B13" s="4" t="str">
        <f>VLOOKUP(A13,Insumos,2)</f>
        <v>canasta 2 (mixer 5m3)</v>
      </c>
      <c r="C13" s="6" t="str">
        <f>VLOOKUP(A13,Insumos,3)</f>
        <v>h</v>
      </c>
      <c r="D13" s="51">
        <v>0.00346</v>
      </c>
      <c r="E13" s="51">
        <f>VLOOKUP(A13,'IN-04-14'!A110:D110,4,FALSE)</f>
        <v>727.26</v>
      </c>
      <c r="F13" s="69">
        <f>(D13*E13)</f>
        <v>2.5163196</v>
      </c>
    </row>
    <row r="14" spans="4:6" ht="12.75">
      <c r="D14" s="51"/>
      <c r="E14" s="51"/>
      <c r="F14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G48"/>
  <sheetViews>
    <sheetView showGridLines="0" zoomScale="90" zoomScaleNormal="90" zoomScaleSheetLayoutView="75" zoomScalePageLayoutView="0" workbookViewId="0" topLeftCell="A1">
      <selection activeCell="A31" sqref="A3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346</v>
      </c>
      <c r="B2" s="221" t="s">
        <v>1829</v>
      </c>
      <c r="C2" s="77" t="str">
        <f>Fecha</f>
        <v>abr-2014</v>
      </c>
      <c r="D2" s="48"/>
      <c r="E2" s="48"/>
      <c r="F2" s="222">
        <f>SUM(F4:F12)</f>
        <v>153.70445899999999</v>
      </c>
      <c r="G2" s="41"/>
    </row>
    <row r="3" spans="1:7" ht="13.5" thickBot="1">
      <c r="A3" s="7" t="s">
        <v>345</v>
      </c>
      <c r="B3" s="7" t="s">
        <v>1688</v>
      </c>
      <c r="C3" s="78" t="s">
        <v>344</v>
      </c>
      <c r="D3" s="49" t="s">
        <v>1735</v>
      </c>
      <c r="E3" s="50"/>
      <c r="F3" s="68"/>
      <c r="G3" s="42" t="s">
        <v>1937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1646</v>
      </c>
      <c r="B5" s="4" t="str">
        <f>VLOOKUP(A5,Insumos,2)</f>
        <v>cal hidratada en bolsa</v>
      </c>
      <c r="C5" s="6" t="str">
        <f>VLOOKUP(A5,Insumos,3)</f>
        <v>kg</v>
      </c>
      <c r="D5" s="51">
        <v>3.1</v>
      </c>
      <c r="E5" s="51">
        <f>VLOOKUP(A5,'IN-04-14'!A6:D880,4)</f>
        <v>1.57</v>
      </c>
      <c r="F5" s="69">
        <f>(D5*E5)</f>
        <v>4.867</v>
      </c>
    </row>
    <row r="6" spans="1:6" ht="12.75">
      <c r="A6" s="3" t="s">
        <v>1639</v>
      </c>
      <c r="B6" s="4" t="str">
        <f>VLOOKUP(A6,Insumos,2)</f>
        <v>cemento Portland</v>
      </c>
      <c r="C6" s="6" t="str">
        <f>VLOOKUP(A6,Insumos,3)</f>
        <v>kg</v>
      </c>
      <c r="D6" s="51">
        <v>4.85</v>
      </c>
      <c r="E6" s="51">
        <f>VLOOKUP(A6,'IN-04-14'!A7:D881,4)</f>
        <v>1.65</v>
      </c>
      <c r="F6" s="69">
        <f>(D6*E6)</f>
        <v>8.0025</v>
      </c>
    </row>
    <row r="7" spans="1:6" ht="12.75">
      <c r="A7" s="232" t="s">
        <v>517</v>
      </c>
      <c r="B7" s="4" t="str">
        <f>VLOOKUP(A7,Insumos,2)</f>
        <v>hidrófugo</v>
      </c>
      <c r="C7" s="6" t="str">
        <f>VLOOKUP(A7,Insumos,3)</f>
        <v>l</v>
      </c>
      <c r="D7" s="51">
        <v>0.13</v>
      </c>
      <c r="E7" s="51">
        <f>VLOOKUP(A7,'IN-04-14'!A8:D882,4)</f>
        <v>6.6233</v>
      </c>
      <c r="F7" s="69">
        <f>(D7*E7)</f>
        <v>0.861029</v>
      </c>
    </row>
    <row r="8" spans="1:6" ht="12.75">
      <c r="A8" s="3" t="s">
        <v>1641</v>
      </c>
      <c r="B8" s="4" t="str">
        <f>VLOOKUP(A8,Insumos,2)</f>
        <v>arena gruesa</v>
      </c>
      <c r="C8" s="6" t="str">
        <f>VLOOKUP(A8,Insumos,3)</f>
        <v>m3</v>
      </c>
      <c r="D8" s="51">
        <v>0.03</v>
      </c>
      <c r="E8" s="51">
        <f>VLOOKUP(A8,'IN-04-14'!A9:D883,4)</f>
        <v>141.805</v>
      </c>
      <c r="F8" s="69">
        <f>(D8*E8)</f>
        <v>4.25415</v>
      </c>
    </row>
    <row r="9" spans="1:6" ht="12.75">
      <c r="A9" s="82" t="s">
        <v>351</v>
      </c>
      <c r="D9" s="51"/>
      <c r="E9" s="51"/>
      <c r="F9" s="69"/>
    </row>
    <row r="10" spans="1:6" ht="12.75">
      <c r="A10" s="3" t="s">
        <v>1636</v>
      </c>
      <c r="B10" s="4" t="str">
        <f>VLOOKUP(A10,Insumos,2)</f>
        <v>cuadrilla tipo UOCRA</v>
      </c>
      <c r="C10" s="6" t="str">
        <f>VLOOKUP(A10,Insumos,3)</f>
        <v>h</v>
      </c>
      <c r="D10" s="51">
        <v>2.3</v>
      </c>
      <c r="E10" s="51">
        <f>VLOOKUP(A10,'IN-04-14'!A11:D885,4)</f>
        <v>58.06</v>
      </c>
      <c r="F10" s="69">
        <f>(D10*E10)</f>
        <v>133.53799999999998</v>
      </c>
    </row>
    <row r="11" spans="1:6" ht="12.75">
      <c r="A11" s="82" t="s">
        <v>352</v>
      </c>
      <c r="D11" s="51"/>
      <c r="E11" s="51"/>
      <c r="F11" s="69"/>
    </row>
    <row r="12" spans="1:6" ht="12.75">
      <c r="A12" s="3" t="s">
        <v>1642</v>
      </c>
      <c r="B12" s="4" t="str">
        <f>VLOOKUP(A12,Insumos,2)</f>
        <v>canasta 2 (mixer 5m3)</v>
      </c>
      <c r="C12" s="6" t="str">
        <f>VLOOKUP(A12,Insumos,3)</f>
        <v>h</v>
      </c>
      <c r="D12" s="51">
        <v>0.003</v>
      </c>
      <c r="E12" s="51">
        <f>VLOOKUP(A12,'IN-04-14'!A13:D887,4)</f>
        <v>727.26</v>
      </c>
      <c r="F12" s="69">
        <f>(D12*E12)</f>
        <v>2.18178</v>
      </c>
    </row>
    <row r="13" spans="4:6" ht="13.5" thickBot="1">
      <c r="D13" s="51"/>
      <c r="E13" s="51"/>
      <c r="F13" s="69"/>
    </row>
    <row r="14" spans="1:7" ht="13.5" thickTop="1">
      <c r="A14" s="75" t="s">
        <v>346</v>
      </c>
      <c r="B14" s="221" t="s">
        <v>13</v>
      </c>
      <c r="C14" s="77" t="str">
        <f>Fecha</f>
        <v>abr-2014</v>
      </c>
      <c r="D14" s="48"/>
      <c r="E14" s="48"/>
      <c r="F14" s="222">
        <f>SUM(F17:F24)</f>
        <v>85.02846699999999</v>
      </c>
      <c r="G14" s="41"/>
    </row>
    <row r="15" spans="1:7" ht="13.5" thickBot="1">
      <c r="A15" s="7" t="s">
        <v>345</v>
      </c>
      <c r="B15" s="7" t="s">
        <v>1688</v>
      </c>
      <c r="C15" s="78" t="s">
        <v>344</v>
      </c>
      <c r="D15" s="49" t="s">
        <v>1736</v>
      </c>
      <c r="E15" s="50"/>
      <c r="F15" s="68"/>
      <c r="G15" s="42" t="s">
        <v>1937</v>
      </c>
    </row>
    <row r="16" spans="4:6" ht="13.5" thickTop="1">
      <c r="D16" s="51"/>
      <c r="E16" s="51"/>
      <c r="F16" s="69"/>
    </row>
    <row r="17" spans="1:6" ht="12.75">
      <c r="A17" s="82" t="s">
        <v>350</v>
      </c>
      <c r="D17" s="51"/>
      <c r="E17" s="51"/>
      <c r="F17" s="69"/>
    </row>
    <row r="18" spans="1:6" ht="12.75">
      <c r="A18" s="3" t="s">
        <v>1646</v>
      </c>
      <c r="B18" s="4" t="str">
        <f>VLOOKUP(A18,Insumos,2)</f>
        <v>cal hidratada en bolsa</v>
      </c>
      <c r="C18" s="6" t="str">
        <f>VLOOKUP(A18,Insumos,3)</f>
        <v>kg</v>
      </c>
      <c r="D18" s="51">
        <v>3.1</v>
      </c>
      <c r="E18" s="51">
        <f>VLOOKUP(A18,'IN-04-14'!A19:D893,4)</f>
        <v>1.57</v>
      </c>
      <c r="F18" s="69">
        <f>(D18*E18)</f>
        <v>4.867</v>
      </c>
    </row>
    <row r="19" spans="1:6" ht="12.75">
      <c r="A19" s="3" t="s">
        <v>1639</v>
      </c>
      <c r="B19" s="4" t="str">
        <f>VLOOKUP(A19,Insumos,2)</f>
        <v>cemento Portland</v>
      </c>
      <c r="C19" s="6" t="str">
        <f>VLOOKUP(A19,Insumos,3)</f>
        <v>kg</v>
      </c>
      <c r="D19" s="51">
        <v>1.7</v>
      </c>
      <c r="E19" s="51">
        <f>VLOOKUP(A19,'IN-04-14'!A20:D894,4)</f>
        <v>1.65</v>
      </c>
      <c r="F19" s="69">
        <f>(D19*E19)</f>
        <v>2.8049999999999997</v>
      </c>
    </row>
    <row r="20" spans="1:6" ht="12.75">
      <c r="A20" s="3" t="s">
        <v>1641</v>
      </c>
      <c r="B20" s="4" t="str">
        <f>VLOOKUP(A20,Insumos,2)</f>
        <v>arena gruesa</v>
      </c>
      <c r="C20" s="6" t="str">
        <f>VLOOKUP(A20,Insumos,3)</f>
        <v>m3</v>
      </c>
      <c r="D20" s="51">
        <v>0.025</v>
      </c>
      <c r="E20" s="51">
        <f>VLOOKUP(A20,'IN-04-14'!A21:D895,4)</f>
        <v>141.805</v>
      </c>
      <c r="F20" s="69">
        <f>(D20*E20)</f>
        <v>3.5451250000000005</v>
      </c>
    </row>
    <row r="21" spans="1:6" ht="12.75">
      <c r="A21" s="82" t="s">
        <v>351</v>
      </c>
      <c r="D21" s="51"/>
      <c r="E21" s="51"/>
      <c r="F21" s="69"/>
    </row>
    <row r="22" spans="1:6" ht="12.75">
      <c r="A22" s="3" t="s">
        <v>1636</v>
      </c>
      <c r="B22" s="4" t="str">
        <f>VLOOKUP(A22,Insumos,2)</f>
        <v>cuadrilla tipo UOCRA</v>
      </c>
      <c r="C22" s="6" t="str">
        <f>VLOOKUP(A22,Insumos,3)</f>
        <v>h</v>
      </c>
      <c r="D22" s="51">
        <v>1.25</v>
      </c>
      <c r="E22" s="51">
        <f>VLOOKUP(A22,'IN-04-14'!A23:D897,4)</f>
        <v>58.06</v>
      </c>
      <c r="F22" s="69">
        <f>(D22*E22)</f>
        <v>72.575</v>
      </c>
    </row>
    <row r="23" spans="1:6" ht="12.75">
      <c r="A23" s="82" t="s">
        <v>352</v>
      </c>
      <c r="D23" s="51"/>
      <c r="E23" s="51"/>
      <c r="F23" s="69"/>
    </row>
    <row r="24" spans="1:6" ht="12.75">
      <c r="A24" s="3" t="s">
        <v>1642</v>
      </c>
      <c r="B24" s="4" t="str">
        <f>VLOOKUP(A24,Insumos,2)</f>
        <v>canasta 2 (mixer 5m3)</v>
      </c>
      <c r="C24" s="6" t="str">
        <f>VLOOKUP(A24,Insumos,3)</f>
        <v>h</v>
      </c>
      <c r="D24" s="51">
        <v>0.0017</v>
      </c>
      <c r="E24" s="51">
        <f>VLOOKUP(A24,'IN-04-14'!A25:D899,4)</f>
        <v>727.26</v>
      </c>
      <c r="F24" s="69">
        <f>(D24*E24)</f>
        <v>1.2363419999999998</v>
      </c>
    </row>
    <row r="25" spans="4:6" ht="13.5" thickBot="1">
      <c r="D25" s="51"/>
      <c r="E25" s="51"/>
      <c r="F25" s="69"/>
    </row>
    <row r="26" spans="1:7" ht="13.5" thickTop="1">
      <c r="A26" s="75" t="s">
        <v>346</v>
      </c>
      <c r="B26" s="221" t="s">
        <v>1830</v>
      </c>
      <c r="C26" s="77" t="str">
        <f>Fecha</f>
        <v>abr-2014</v>
      </c>
      <c r="D26" s="48"/>
      <c r="E26" s="48"/>
      <c r="F26" s="222">
        <f>SUM(F28:F36)</f>
        <v>80.03835500000001</v>
      </c>
      <c r="G26" s="41"/>
    </row>
    <row r="27" spans="1:7" ht="13.5" thickBot="1">
      <c r="A27" s="7" t="s">
        <v>345</v>
      </c>
      <c r="B27" s="7" t="s">
        <v>1688</v>
      </c>
      <c r="C27" s="78" t="s">
        <v>344</v>
      </c>
      <c r="D27" s="49" t="s">
        <v>1892</v>
      </c>
      <c r="E27" s="50"/>
      <c r="F27" s="68"/>
      <c r="G27" s="42" t="s">
        <v>1937</v>
      </c>
    </row>
    <row r="28" spans="1:6" ht="13.5" thickTop="1">
      <c r="A28" s="82" t="s">
        <v>350</v>
      </c>
      <c r="D28" s="51"/>
      <c r="E28" s="51"/>
      <c r="F28" s="69"/>
    </row>
    <row r="29" spans="1:6" ht="12.75">
      <c r="A29" s="3" t="s">
        <v>1646</v>
      </c>
      <c r="B29" s="4" t="str">
        <f>VLOOKUP(A29,Insumos,2)</f>
        <v>cal hidratada en bolsa</v>
      </c>
      <c r="C29" s="6" t="str">
        <f>VLOOKUP(A29,Insumos,3)</f>
        <v>kg</v>
      </c>
      <c r="D29" s="51">
        <v>2.4</v>
      </c>
      <c r="E29" s="51">
        <f>VLOOKUP(A29,'IN-04-14'!A30:D904,4)</f>
        <v>1.57</v>
      </c>
      <c r="F29" s="69">
        <f>(D29*E29)</f>
        <v>3.768</v>
      </c>
    </row>
    <row r="30" spans="1:6" ht="12.75">
      <c r="A30" s="232" t="s">
        <v>517</v>
      </c>
      <c r="B30" s="4" t="str">
        <f>VLOOKUP(A30,Insumos,2)</f>
        <v>hidrófugo</v>
      </c>
      <c r="C30" s="6" t="str">
        <f>VLOOKUP(A30,Insumos,3)</f>
        <v>l</v>
      </c>
      <c r="D30" s="51">
        <v>0.13</v>
      </c>
      <c r="E30" s="51">
        <f>VLOOKUP(A30,'IN-04-14'!A31:D905,4)</f>
        <v>6.6233</v>
      </c>
      <c r="F30" s="69">
        <f>(D30*E30)</f>
        <v>0.861029</v>
      </c>
    </row>
    <row r="31" spans="1:6" ht="12.75">
      <c r="A31" s="3" t="s">
        <v>1639</v>
      </c>
      <c r="B31" s="4" t="str">
        <f>VLOOKUP(A31,Insumos,2)</f>
        <v>cemento Portland</v>
      </c>
      <c r="C31" s="6" t="str">
        <f>VLOOKUP(A31,Insumos,3)</f>
        <v>kg</v>
      </c>
      <c r="D31" s="51">
        <v>4.4</v>
      </c>
      <c r="E31" s="51">
        <f>VLOOKUP(A31,'IN-04-14'!A32:D906,4)</f>
        <v>1.65</v>
      </c>
      <c r="F31" s="69">
        <f>(D31*E31)</f>
        <v>7.26</v>
      </c>
    </row>
    <row r="32" spans="1:6" ht="12.75">
      <c r="A32" s="3" t="s">
        <v>1641</v>
      </c>
      <c r="B32" s="4" t="str">
        <f>VLOOKUP(A32,Insumos,2)</f>
        <v>arena gruesa</v>
      </c>
      <c r="C32" s="6" t="str">
        <f>VLOOKUP(A32,Insumos,3)</f>
        <v>m3</v>
      </c>
      <c r="D32" s="51">
        <v>0.022</v>
      </c>
      <c r="E32" s="51">
        <f>VLOOKUP(A32,'IN-04-14'!A33:D907,4)</f>
        <v>141.805</v>
      </c>
      <c r="F32" s="69">
        <f>(D32*E32)</f>
        <v>3.11971</v>
      </c>
    </row>
    <row r="33" spans="1:6" ht="12.75">
      <c r="A33" s="82" t="s">
        <v>351</v>
      </c>
      <c r="D33" s="51"/>
      <c r="E33" s="51"/>
      <c r="F33" s="69"/>
    </row>
    <row r="34" spans="1:6" ht="12.75">
      <c r="A34" s="3" t="s">
        <v>1636</v>
      </c>
      <c r="B34" s="4" t="str">
        <f>VLOOKUP(A34,Insumos,2)</f>
        <v>cuadrilla tipo UOCRA</v>
      </c>
      <c r="C34" s="6" t="str">
        <f>VLOOKUP(A34,Insumos,3)</f>
        <v>h</v>
      </c>
      <c r="D34" s="51">
        <v>1.1</v>
      </c>
      <c r="E34" s="51">
        <f>VLOOKUP(A34,'IN-04-14'!A35:D909,4)</f>
        <v>58.06</v>
      </c>
      <c r="F34" s="69">
        <f>(D34*E34)</f>
        <v>63.86600000000001</v>
      </c>
    </row>
    <row r="35" spans="1:6" ht="12.75">
      <c r="A35" s="82" t="s">
        <v>352</v>
      </c>
      <c r="D35" s="51"/>
      <c r="E35" s="51"/>
      <c r="F35" s="69"/>
    </row>
    <row r="36" spans="1:6" ht="12.75">
      <c r="A36" s="3" t="s">
        <v>1642</v>
      </c>
      <c r="B36" s="4" t="str">
        <f>VLOOKUP(A36,Insumos,2)</f>
        <v>canasta 2 (mixer 5m3)</v>
      </c>
      <c r="C36" s="6" t="str">
        <f>VLOOKUP(A36,Insumos,3)</f>
        <v>h</v>
      </c>
      <c r="D36" s="51">
        <v>0.0016</v>
      </c>
      <c r="E36" s="51">
        <f>VLOOKUP(A36,'IN-04-14'!A37:D911,4)</f>
        <v>727.26</v>
      </c>
      <c r="F36" s="69">
        <f>(D36*E36)</f>
        <v>1.163616</v>
      </c>
    </row>
    <row r="37" spans="4:6" ht="13.5" thickBot="1">
      <c r="D37" s="51"/>
      <c r="E37" s="51"/>
      <c r="F37" s="69"/>
    </row>
    <row r="38" spans="1:7" ht="13.5" thickTop="1">
      <c r="A38" s="75" t="s">
        <v>346</v>
      </c>
      <c r="B38" s="221" t="s">
        <v>12</v>
      </c>
      <c r="C38" s="77" t="str">
        <f>Fecha</f>
        <v>abr-2014</v>
      </c>
      <c r="D38" s="48"/>
      <c r="E38" s="48"/>
      <c r="F38" s="222">
        <f>SUM(F40:F48)</f>
        <v>144.83401</v>
      </c>
      <c r="G38" s="41"/>
    </row>
    <row r="39" spans="1:7" ht="13.5" thickBot="1">
      <c r="A39" s="7" t="s">
        <v>345</v>
      </c>
      <c r="B39" s="7" t="s">
        <v>1688</v>
      </c>
      <c r="C39" s="78" t="s">
        <v>344</v>
      </c>
      <c r="D39" s="49" t="s">
        <v>1737</v>
      </c>
      <c r="E39" s="50"/>
      <c r="F39" s="68"/>
      <c r="G39" s="42" t="s">
        <v>1937</v>
      </c>
    </row>
    <row r="40" spans="1:6" ht="13.5" thickTop="1">
      <c r="A40" s="82" t="s">
        <v>350</v>
      </c>
      <c r="D40" s="51"/>
      <c r="E40" s="51"/>
      <c r="F40" s="69"/>
    </row>
    <row r="41" spans="1:6" ht="12.75">
      <c r="A41" s="3" t="s">
        <v>1646</v>
      </c>
      <c r="B41" s="4" t="str">
        <f>VLOOKUP(A41,Insumos,2)</f>
        <v>cal hidratada en bolsa</v>
      </c>
      <c r="C41" s="6" t="str">
        <f>VLOOKUP(A41,Insumos,3)</f>
        <v>kg</v>
      </c>
      <c r="D41" s="51">
        <v>1.1</v>
      </c>
      <c r="E41" s="51">
        <f>VLOOKUP(A41,'IN-04-14'!A42:D916,4)</f>
        <v>1.57</v>
      </c>
      <c r="F41" s="69">
        <f>(D41*E41)</f>
        <v>1.7270000000000003</v>
      </c>
    </row>
    <row r="42" spans="1:6" ht="12.75">
      <c r="A42" s="3" t="s">
        <v>1639</v>
      </c>
      <c r="B42" s="4" t="str">
        <f>VLOOKUP(A42,Insumos,2)</f>
        <v>cemento Portland</v>
      </c>
      <c r="C42" s="6" t="str">
        <f>VLOOKUP(A42,Insumos,3)</f>
        <v>kg</v>
      </c>
      <c r="D42" s="51">
        <v>4</v>
      </c>
      <c r="E42" s="51">
        <f>VLOOKUP(A42,'IN-04-14'!A43:D917,4)</f>
        <v>1.65</v>
      </c>
      <c r="F42" s="69">
        <f>(D42*E42)</f>
        <v>6.6</v>
      </c>
    </row>
    <row r="43" spans="1:6" ht="12.75">
      <c r="A43" s="3" t="s">
        <v>1641</v>
      </c>
      <c r="B43" s="4" t="str">
        <f>VLOOKUP(A43,Insumos,2)</f>
        <v>arena gruesa</v>
      </c>
      <c r="C43" s="6" t="str">
        <f>VLOOKUP(A43,Insumos,3)</f>
        <v>m3</v>
      </c>
      <c r="D43" s="51">
        <v>0.006</v>
      </c>
      <c r="E43" s="51">
        <f>VLOOKUP(A43,'IN-04-14'!A42:D918,4)</f>
        <v>141.805</v>
      </c>
      <c r="F43" s="69">
        <f>(D43*E43)</f>
        <v>0.8508300000000001</v>
      </c>
    </row>
    <row r="44" spans="1:6" ht="12.75">
      <c r="A44" s="3" t="s">
        <v>1650</v>
      </c>
      <c r="B44" s="4" t="str">
        <f>VLOOKUP(A44,Insumos,2)</f>
        <v>yeso blanco</v>
      </c>
      <c r="C44" s="6" t="str">
        <f>VLOOKUP(A44,Insumos,3)</f>
        <v>kg</v>
      </c>
      <c r="D44" s="51">
        <v>18</v>
      </c>
      <c r="E44" s="51">
        <f>VLOOKUP(A44,'IN-04-14'!A45:D919,4)</f>
        <v>3.3833</v>
      </c>
      <c r="F44" s="69">
        <f>(D44*E44)</f>
        <v>60.8994</v>
      </c>
    </row>
    <row r="45" spans="1:6" ht="12.75">
      <c r="A45" s="82" t="s">
        <v>351</v>
      </c>
      <c r="D45" s="51"/>
      <c r="E45" s="51"/>
      <c r="F45" s="69"/>
    </row>
    <row r="46" spans="1:6" ht="12.75">
      <c r="A46" s="3" t="s">
        <v>1636</v>
      </c>
      <c r="B46" s="4" t="str">
        <f>VLOOKUP(A46,Insumos,2)</f>
        <v>cuadrilla tipo UOCRA</v>
      </c>
      <c r="C46" s="6" t="str">
        <f>VLOOKUP(A46,Insumos,3)</f>
        <v>h</v>
      </c>
      <c r="D46" s="51">
        <v>1.25</v>
      </c>
      <c r="E46" s="51">
        <f>VLOOKUP(A46,'IN-04-14'!A47:D921,4)</f>
        <v>58.06</v>
      </c>
      <c r="F46" s="69">
        <f>(D46*E46)</f>
        <v>72.575</v>
      </c>
    </row>
    <row r="47" spans="1:6" ht="12.75">
      <c r="A47" s="82" t="s">
        <v>352</v>
      </c>
      <c r="D47" s="51"/>
      <c r="E47" s="51"/>
      <c r="F47" s="69"/>
    </row>
    <row r="48" spans="1:6" ht="12.75">
      <c r="A48" s="3" t="s">
        <v>1642</v>
      </c>
      <c r="B48" s="4" t="str">
        <f>VLOOKUP(A48,Insumos,2)</f>
        <v>canasta 2 (mixer 5m3)</v>
      </c>
      <c r="C48" s="6" t="str">
        <f>VLOOKUP(A48,Insumos,3)</f>
        <v>h</v>
      </c>
      <c r="D48" s="51">
        <v>0.003</v>
      </c>
      <c r="E48" s="51">
        <f>VLOOKUP(A48,'IN-04-14'!A49:D923,4)</f>
        <v>727.26</v>
      </c>
      <c r="F48" s="69">
        <f>(D48*E48)</f>
        <v>2.18178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Vivienda</dc:creator>
  <cp:keywords/>
  <dc:description/>
  <cp:lastModifiedBy>Diego</cp:lastModifiedBy>
  <cp:lastPrinted>2014-05-05T19:59:29Z</cp:lastPrinted>
  <dcterms:created xsi:type="dcterms:W3CDTF">2002-02-11T21:12:54Z</dcterms:created>
  <dcterms:modified xsi:type="dcterms:W3CDTF">2014-05-19T13:27:47Z</dcterms:modified>
  <cp:category/>
  <cp:version/>
  <cp:contentType/>
  <cp:contentStatus/>
</cp:coreProperties>
</file>