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activeTab="0"/>
  </bookViews>
  <sheets>
    <sheet name="Resumen" sheetId="1" r:id="rId1"/>
    <sheet name="IN-06-10" sheetId="2" r:id="rId2"/>
    <sheet name="Mov. Tierra" sheetId="3" r:id="rId3"/>
    <sheet name="Fundaciones" sheetId="4" r:id="rId4"/>
    <sheet name="Estr Resistente" sheetId="5" r:id="rId5"/>
    <sheet name="Cerram ext int" sheetId="6" r:id="rId6"/>
    <sheet name="Aislaciones" sheetId="7" r:id="rId7"/>
    <sheet name="Revoques" sheetId="8" r:id="rId8"/>
    <sheet name="Solados" sheetId="9" r:id="rId9"/>
    <sheet name="Techos" sheetId="10" r:id="rId10"/>
    <sheet name="Cielorrasos" sheetId="11" r:id="rId11"/>
    <sheet name="Revestimientos" sheetId="12" r:id="rId12"/>
    <sheet name="Carpintería" sheetId="13" r:id="rId13"/>
    <sheet name="Inst sanitaria" sheetId="14" r:id="rId14"/>
    <sheet name="Inst Gas" sheetId="15" r:id="rId15"/>
    <sheet name="Inst Eléctrica" sheetId="16" r:id="rId16"/>
    <sheet name="Pintura" sheetId="17" r:id="rId17"/>
    <sheet name="Vidrios" sheetId="18" r:id="rId18"/>
    <sheet name="Varios" sheetId="19" r:id="rId19"/>
    <sheet name="Red de Agua" sheetId="20" r:id="rId20"/>
    <sheet name="Red de Cloaca" sheetId="21" r:id="rId21"/>
    <sheet name="Red de Gas" sheetId="22" r:id="rId22"/>
    <sheet name="Red de Electricidad" sheetId="23" r:id="rId23"/>
    <sheet name="Red Vial" sheetId="24" r:id="rId24"/>
    <sheet name="Flete" sheetId="25" r:id="rId25"/>
    <sheet name="Equipos" sheetId="26" r:id="rId26"/>
    <sheet name="Dolar" sheetId="27" r:id="rId27"/>
  </sheets>
  <externalReferences>
    <externalReference r:id="rId30"/>
    <externalReference r:id="rId31"/>
  </externalReferences>
  <definedNames>
    <definedName name="_Key1" hidden="1">'IN-06-10'!$A$7</definedName>
    <definedName name="_Order1" hidden="1">255</definedName>
    <definedName name="_Regression_Int" localSheetId="6" hidden="1">1</definedName>
    <definedName name="_Regression_Int" localSheetId="12" hidden="1">1</definedName>
    <definedName name="_Regression_Int" localSheetId="5" hidden="1">1</definedName>
    <definedName name="_Regression_Int" localSheetId="10" hidden="1">1</definedName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2" hidden="1">1</definedName>
    <definedName name="_Regression_Int" localSheetId="16" hidden="1">1</definedName>
    <definedName name="_Regression_Int" localSheetId="19" hidden="1">1</definedName>
    <definedName name="_Regression_Int" localSheetId="20" hidden="1">1</definedName>
    <definedName name="_Regression_Int" localSheetId="22" hidden="1">1</definedName>
    <definedName name="_Regression_Int" localSheetId="21" hidden="1">1</definedName>
    <definedName name="_Regression_Int" localSheetId="23" hidden="1">1</definedName>
    <definedName name="_Regression_Int" localSheetId="11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8" hidden="1">1</definedName>
    <definedName name="_Regression_Int" localSheetId="17" hidden="1">1</definedName>
    <definedName name="_Sort" hidden="1">'IN-06-10'!$A$6:$E$8</definedName>
    <definedName name="_xlnm.Print_Area" localSheetId="6">'Aislaciones'!$A$1:$G$14</definedName>
    <definedName name="_xlnm.Print_Area" localSheetId="12">'Carpintería'!$A$1:$G$64</definedName>
    <definedName name="_xlnm.Print_Area" localSheetId="5">'Cerram ext int'!$A$1:$G$97</definedName>
    <definedName name="_xlnm.Print_Area" localSheetId="10">'Cielorrasos'!$A$1:$G$68</definedName>
    <definedName name="_xlnm.Print_Area" localSheetId="25">'Equipos'!$A$4:$Q$15</definedName>
    <definedName name="_xlnm.Print_Area" localSheetId="4">'Estr Resistente'!$A$1:$G$96</definedName>
    <definedName name="_xlnm.Print_Area" localSheetId="3">'Fundaciones'!$A$1:$G$48</definedName>
    <definedName name="_xlnm.Print_Area" localSheetId="1">'IN-06-10'!$A$1:$G$440</definedName>
    <definedName name="_xlnm.Print_Area" localSheetId="15">'Inst Eléctrica'!$A$44:$H$92</definedName>
    <definedName name="_xlnm.Print_Area" localSheetId="14">'Inst Gas'!$A$1:$G$53</definedName>
    <definedName name="_xlnm.Print_Area" localSheetId="13">'Inst sanitaria'!$A$231:$H$231</definedName>
    <definedName name="_xlnm.Print_Area" localSheetId="16">'Pintura'!$A$1:$G$78</definedName>
    <definedName name="_xlnm.Print_Area" localSheetId="19">'Red de Agua'!$A$1:$G$44</definedName>
    <definedName name="_xlnm.Print_Area" localSheetId="20">'Red de Cloaca'!$A$1:$G$32</definedName>
    <definedName name="_xlnm.Print_Area" localSheetId="22">'Red de Electricidad'!#REF!</definedName>
    <definedName name="_xlnm.Print_Area" localSheetId="21">'Red de Gas'!$A$1:$G$26</definedName>
    <definedName name="_xlnm.Print_Area" localSheetId="23">'Red Vial'!$A$15:$I$46</definedName>
    <definedName name="_xlnm.Print_Area" localSheetId="11">'Revestimientos'!$A$1:$G$20</definedName>
    <definedName name="_xlnm.Print_Area" localSheetId="7">'Revoques'!$A$1:$G$48</definedName>
    <definedName name="_xlnm.Print_Area" localSheetId="8">'Solados'!$A$1:$G$104</definedName>
    <definedName name="_xlnm.Print_Area" localSheetId="9">'Techos'!$A$1:$G$94</definedName>
    <definedName name="_xlnm.Print_Area" localSheetId="18">'Varios'!$A$20:$G$46</definedName>
    <definedName name="_xlnm.Print_Area" localSheetId="17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'IN-06-10'!$A$6:$A$237</definedName>
    <definedName name="DESCRIPCION">'IN-06-10'!$B$6:$B$237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'IN-06-10'!$D$3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6">'Aislaciones'!$A$1:$G$14</definedName>
    <definedName name="Imprimir_área_IM" localSheetId="12">'Carpintería'!$A$1:$G$34</definedName>
    <definedName name="Imprimir_área_IM" localSheetId="5">'Cerram ext int'!$A$1:$G$97</definedName>
    <definedName name="Imprimir_área_IM" localSheetId="10">'Cielorrasos'!$A$1:$G$68</definedName>
    <definedName name="Imprimir_área_IM" localSheetId="4">'Estr Resistente'!$A$1:$G$96</definedName>
    <definedName name="Imprimir_área_IM" localSheetId="3">'Fundaciones'!$A$1:$G$48</definedName>
    <definedName name="Imprimir_área_IM" localSheetId="15">'Inst Eléctrica'!$A$1:$G$42</definedName>
    <definedName name="Imprimir_área_IM" localSheetId="14">'Inst Gas'!$A$1:$G$53</definedName>
    <definedName name="Imprimir_área_IM" localSheetId="13">'Inst sanitaria'!$A$1:$G$98</definedName>
    <definedName name="Imprimir_área_IM" localSheetId="16">'Pintura'!$A$1:$G$78</definedName>
    <definedName name="Imprimir_área_IM" localSheetId="19">'Red de Agua'!$A$1:$G$19</definedName>
    <definedName name="Imprimir_área_IM" localSheetId="20">'Red de Cloaca'!#REF!</definedName>
    <definedName name="Imprimir_área_IM" localSheetId="22">'Red de Electricidad'!#REF!</definedName>
    <definedName name="Imprimir_área_IM" localSheetId="21">'Red de Gas'!#REF!</definedName>
    <definedName name="Imprimir_área_IM" localSheetId="23">'Red Vial'!#REF!</definedName>
    <definedName name="Imprimir_área_IM" localSheetId="11">'Revestimientos'!$A$1:$G$20</definedName>
    <definedName name="Imprimir_área_IM" localSheetId="7">'Revoques'!$A$1:$G$48</definedName>
    <definedName name="Imprimir_área_IM" localSheetId="8">'Solados'!$A$1:$G$104</definedName>
    <definedName name="Imprimir_área_IM" localSheetId="9">'Techos'!$A$1:$G$94</definedName>
    <definedName name="Imprimir_área_IM" localSheetId="18">'Varios'!$A$1:$G$22</definedName>
    <definedName name="Imprimir_área_IM" localSheetId="17">'Vidrios'!$A$1:$G$7</definedName>
    <definedName name="Imprimir_títulos_IM" localSheetId="1">'IN-06-10'!$1:$5</definedName>
    <definedName name="Insumos">'IN-06-10'!$A$5:$D$440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'IN-06-10'!$E$6:$E$237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'IN-06-10'!$C$6:$C$237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'IN-06-10'!$A$1:$E$237</definedName>
    <definedName name="Z_0D76B64C_AC04_4788_917D_4511FD9E9090_.wvu.Cols" localSheetId="6" hidden="1">'Aislaciones'!#REF!</definedName>
    <definedName name="Z_0D76B64C_AC04_4788_917D_4511FD9E9090_.wvu.Cols" localSheetId="12" hidden="1">'Carpintería'!#REF!</definedName>
    <definedName name="Z_0D76B64C_AC04_4788_917D_4511FD9E9090_.wvu.Cols" localSheetId="5" hidden="1">'Cerram ext int'!#REF!</definedName>
    <definedName name="Z_0D76B64C_AC04_4788_917D_4511FD9E9090_.wvu.Cols" localSheetId="10" hidden="1">'Cielorrasos'!#REF!</definedName>
    <definedName name="Z_0D76B64C_AC04_4788_917D_4511FD9E9090_.wvu.Cols" localSheetId="4" hidden="1">'Estr Resistente'!#REF!</definedName>
    <definedName name="Z_0D76B64C_AC04_4788_917D_4511FD9E9090_.wvu.Cols" localSheetId="3" hidden="1">'Fundaciones'!#REF!</definedName>
    <definedName name="Z_0D76B64C_AC04_4788_917D_4511FD9E9090_.wvu.Cols" localSheetId="15" hidden="1">'Inst Eléctrica'!#REF!</definedName>
    <definedName name="Z_0D76B64C_AC04_4788_917D_4511FD9E9090_.wvu.Cols" localSheetId="14" hidden="1">'Inst Gas'!#REF!</definedName>
    <definedName name="Z_0D76B64C_AC04_4788_917D_4511FD9E9090_.wvu.Cols" localSheetId="13" hidden="1">'Inst sanitaria'!#REF!</definedName>
    <definedName name="Z_0D76B64C_AC04_4788_917D_4511FD9E9090_.wvu.Cols" localSheetId="2" hidden="1">'Mov. Tierra'!#REF!</definedName>
    <definedName name="Z_0D76B64C_AC04_4788_917D_4511FD9E9090_.wvu.Cols" localSheetId="16" hidden="1">'Pintura'!#REF!</definedName>
    <definedName name="Z_0D76B64C_AC04_4788_917D_4511FD9E9090_.wvu.Cols" localSheetId="19" hidden="1">'Red de Agua'!#REF!</definedName>
    <definedName name="Z_0D76B64C_AC04_4788_917D_4511FD9E9090_.wvu.Cols" localSheetId="20" hidden="1">'Red de Cloaca'!#REF!</definedName>
    <definedName name="Z_0D76B64C_AC04_4788_917D_4511FD9E9090_.wvu.Cols" localSheetId="22" hidden="1">'Red de Electricidad'!#REF!</definedName>
    <definedName name="Z_0D76B64C_AC04_4788_917D_4511FD9E9090_.wvu.Cols" localSheetId="21" hidden="1">'Red de Gas'!#REF!</definedName>
    <definedName name="Z_0D76B64C_AC04_4788_917D_4511FD9E9090_.wvu.Cols" localSheetId="23" hidden="1">'Red Vial'!#REF!</definedName>
    <definedName name="Z_0D76B64C_AC04_4788_917D_4511FD9E9090_.wvu.Cols" localSheetId="11" hidden="1">'Revestimientos'!#REF!</definedName>
    <definedName name="Z_0D76B64C_AC04_4788_917D_4511FD9E9090_.wvu.Cols" localSheetId="7" hidden="1">'Revoques'!#REF!</definedName>
    <definedName name="Z_0D76B64C_AC04_4788_917D_4511FD9E9090_.wvu.Cols" localSheetId="8" hidden="1">'Solados'!#REF!</definedName>
    <definedName name="Z_0D76B64C_AC04_4788_917D_4511FD9E9090_.wvu.Cols" localSheetId="9" hidden="1">'Techos'!#REF!</definedName>
    <definedName name="Z_0D76B64C_AC04_4788_917D_4511FD9E9090_.wvu.Cols" localSheetId="18" hidden="1">'Varios'!#REF!</definedName>
    <definedName name="Z_0D76B64C_AC04_4788_917D_4511FD9E9090_.wvu.Cols" localSheetId="17" hidden="1">'Vidrios'!#REF!</definedName>
    <definedName name="Z_0D76B64C_AC04_4788_917D_4511FD9E9090_.wvu.FilterData" localSheetId="1" hidden="1">'IN-06-10'!$A$1:$E$237</definedName>
    <definedName name="Z_0D76B64C_AC04_4788_917D_4511FD9E9090_.wvu.PrintArea" localSheetId="6" hidden="1">'Aislaciones'!$A$1:$G$14</definedName>
    <definedName name="Z_0D76B64C_AC04_4788_917D_4511FD9E9090_.wvu.PrintArea" localSheetId="12" hidden="1">'Carpintería'!$A$1:$G$34</definedName>
    <definedName name="Z_0D76B64C_AC04_4788_917D_4511FD9E9090_.wvu.PrintArea" localSheetId="5" hidden="1">'Cerram ext int'!$A$1:$G$97</definedName>
    <definedName name="Z_0D76B64C_AC04_4788_917D_4511FD9E9090_.wvu.PrintArea" localSheetId="10" hidden="1">'Cielorrasos'!$A$1:$G$68</definedName>
    <definedName name="Z_0D76B64C_AC04_4788_917D_4511FD9E9090_.wvu.PrintArea" localSheetId="4" hidden="1">'Estr Resistente'!$A$1:$G$96</definedName>
    <definedName name="Z_0D76B64C_AC04_4788_917D_4511FD9E9090_.wvu.PrintArea" localSheetId="3" hidden="1">'Fundaciones'!$A$1:$G$48</definedName>
    <definedName name="Z_0D76B64C_AC04_4788_917D_4511FD9E9090_.wvu.PrintArea" localSheetId="1" hidden="1">'IN-06-10'!$A$1:$E$237</definedName>
    <definedName name="Z_0D76B64C_AC04_4788_917D_4511FD9E9090_.wvu.PrintArea" localSheetId="15" hidden="1">'Inst Eléctrica'!$A$1:$G$42</definedName>
    <definedName name="Z_0D76B64C_AC04_4788_917D_4511FD9E9090_.wvu.PrintArea" localSheetId="14" hidden="1">'Inst Gas'!$A$1:$G$53</definedName>
    <definedName name="Z_0D76B64C_AC04_4788_917D_4511FD9E9090_.wvu.PrintArea" localSheetId="13" hidden="1">'Inst sanitaria'!$A$1:$G$98</definedName>
    <definedName name="Z_0D76B64C_AC04_4788_917D_4511FD9E9090_.wvu.PrintArea" localSheetId="16" hidden="1">'Pintura'!$A$1:$G$78</definedName>
    <definedName name="Z_0D76B64C_AC04_4788_917D_4511FD9E9090_.wvu.PrintArea" localSheetId="19" hidden="1">'Red de Agua'!$A$1:$G$31</definedName>
    <definedName name="Z_0D76B64C_AC04_4788_917D_4511FD9E9090_.wvu.PrintArea" localSheetId="20" hidden="1">'Red de Cloaca'!$A$1:$G$32</definedName>
    <definedName name="Z_0D76B64C_AC04_4788_917D_4511FD9E9090_.wvu.PrintArea" localSheetId="22" hidden="1">'Red de Electricidad'!#REF!</definedName>
    <definedName name="Z_0D76B64C_AC04_4788_917D_4511FD9E9090_.wvu.PrintArea" localSheetId="21" hidden="1">'Red de Gas'!$A$1:$G$26</definedName>
    <definedName name="Z_0D76B64C_AC04_4788_917D_4511FD9E9090_.wvu.PrintArea" localSheetId="23" hidden="1">'Red Vial'!$A$1:$G$27</definedName>
    <definedName name="Z_0D76B64C_AC04_4788_917D_4511FD9E9090_.wvu.PrintArea" localSheetId="11" hidden="1">'Revestimientos'!$A$1:$G$20</definedName>
    <definedName name="Z_0D76B64C_AC04_4788_917D_4511FD9E9090_.wvu.PrintArea" localSheetId="7" hidden="1">'Revoques'!$A$1:$G$48</definedName>
    <definedName name="Z_0D76B64C_AC04_4788_917D_4511FD9E9090_.wvu.PrintArea" localSheetId="8" hidden="1">'Solados'!$A$1:$G$104</definedName>
    <definedName name="Z_0D76B64C_AC04_4788_917D_4511FD9E9090_.wvu.PrintArea" localSheetId="9" hidden="1">'Techos'!$A$1:$G$94</definedName>
    <definedName name="Z_0D76B64C_AC04_4788_917D_4511FD9E9090_.wvu.PrintArea" localSheetId="18" hidden="1">'Varios'!$A$20:$G$46</definedName>
    <definedName name="Z_0D76B64C_AC04_4788_917D_4511FD9E9090_.wvu.PrintArea" localSheetId="17" hidden="1">'Vidrios'!$A$1:$G$7</definedName>
    <definedName name="Z_0D76B64C_AC04_4788_917D_4511FD9E9090_.wvu.PrintTitles" localSheetId="1" hidden="1">'IN-06-10'!$1:$5</definedName>
    <definedName name="Z_D8392041_DA66_4755_A670_C1D45774EC77_.wvu.Cols" localSheetId="1" hidden="1">'IN-06-10'!$E:$O</definedName>
    <definedName name="Z_D8392041_DA66_4755_A670_C1D45774EC77_.wvu.Cols" localSheetId="0" hidden="1">'Resumen'!$G:$G</definedName>
    <definedName name="Z_D8392041_DA66_4755_A670_C1D45774EC77_.wvu.FilterData" localSheetId="1" hidden="1">'IN-06-10'!$A$1:$E$237</definedName>
    <definedName name="Z_D8392041_DA66_4755_A670_C1D45774EC77_.wvu.PrintArea" localSheetId="6" hidden="1">'Aislaciones'!$A$1:$G$14</definedName>
    <definedName name="Z_D8392041_DA66_4755_A670_C1D45774EC77_.wvu.PrintArea" localSheetId="12" hidden="1">'Carpintería'!$A$1:$G$64</definedName>
    <definedName name="Z_D8392041_DA66_4755_A670_C1D45774EC77_.wvu.PrintArea" localSheetId="5" hidden="1">'Cerram ext int'!$A$1:$G$97</definedName>
    <definedName name="Z_D8392041_DA66_4755_A670_C1D45774EC77_.wvu.PrintArea" localSheetId="10" hidden="1">'Cielorrasos'!$A$1:$G$68</definedName>
    <definedName name="Z_D8392041_DA66_4755_A670_C1D45774EC77_.wvu.PrintArea" localSheetId="25" hidden="1">'Equipos'!$A$4:$Q$15</definedName>
    <definedName name="Z_D8392041_DA66_4755_A670_C1D45774EC77_.wvu.PrintArea" localSheetId="4" hidden="1">'Estr Resistente'!$A$1:$G$96</definedName>
    <definedName name="Z_D8392041_DA66_4755_A670_C1D45774EC77_.wvu.PrintArea" localSheetId="3" hidden="1">'Fundaciones'!$A$1:$G$48</definedName>
    <definedName name="Z_D8392041_DA66_4755_A670_C1D45774EC77_.wvu.PrintArea" localSheetId="1" hidden="1">'IN-06-10'!$A$1:$G$440</definedName>
    <definedName name="Z_D8392041_DA66_4755_A670_C1D45774EC77_.wvu.PrintArea" localSheetId="15" hidden="1">'Inst Eléctrica'!$A$44:$H$92</definedName>
    <definedName name="Z_D8392041_DA66_4755_A670_C1D45774EC77_.wvu.PrintArea" localSheetId="14" hidden="1">'Inst Gas'!$A$1:$G$53</definedName>
    <definedName name="Z_D8392041_DA66_4755_A670_C1D45774EC77_.wvu.PrintArea" localSheetId="13" hidden="1">'Inst sanitaria'!$A$231:$H$231</definedName>
    <definedName name="Z_D8392041_DA66_4755_A670_C1D45774EC77_.wvu.PrintArea" localSheetId="16" hidden="1">'Pintura'!$A$1:$G$78</definedName>
    <definedName name="Z_D8392041_DA66_4755_A670_C1D45774EC77_.wvu.PrintArea" localSheetId="19" hidden="1">'Red de Agua'!$A$1:$G$44</definedName>
    <definedName name="Z_D8392041_DA66_4755_A670_C1D45774EC77_.wvu.PrintArea" localSheetId="20" hidden="1">'Red de Cloaca'!$A$1:$G$32</definedName>
    <definedName name="Z_D8392041_DA66_4755_A670_C1D45774EC77_.wvu.PrintArea" localSheetId="21" hidden="1">'Red de Gas'!$A$1:$G$26</definedName>
    <definedName name="Z_D8392041_DA66_4755_A670_C1D45774EC77_.wvu.PrintArea" localSheetId="23" hidden="1">'Red Vial'!$A$15:$I$46</definedName>
    <definedName name="Z_D8392041_DA66_4755_A670_C1D45774EC77_.wvu.PrintArea" localSheetId="11" hidden="1">'Revestimientos'!$A$1:$G$20</definedName>
    <definedName name="Z_D8392041_DA66_4755_A670_C1D45774EC77_.wvu.PrintArea" localSheetId="7" hidden="1">'Revoques'!$A$1:$G$48</definedName>
    <definedName name="Z_D8392041_DA66_4755_A670_C1D45774EC77_.wvu.PrintArea" localSheetId="8" hidden="1">'Solados'!$A$1:$G$104</definedName>
    <definedName name="Z_D8392041_DA66_4755_A670_C1D45774EC77_.wvu.PrintArea" localSheetId="9" hidden="1">'Techos'!$A$1:$G$94</definedName>
    <definedName name="Z_D8392041_DA66_4755_A670_C1D45774EC77_.wvu.PrintArea" localSheetId="18" hidden="1">'Varios'!$A$20:$G$46</definedName>
    <definedName name="Z_D8392041_DA66_4755_A670_C1D45774EC77_.wvu.PrintArea" localSheetId="17" hidden="1">'Vidrios'!$A$1:$G$7</definedName>
    <definedName name="Z_D8392041_DA66_4755_A670_C1D45774EC77_.wvu.Rows" localSheetId="1" hidden="1">'IN-06-10'!$28:$28,'IN-06-10'!$49:$49,'IN-06-10'!$56:$56,'IN-06-10'!$87:$89,'IN-06-10'!$92:$94,'IN-06-10'!$98:$98,'IN-06-10'!$100:$100,'IN-06-10'!$102:$103,'IN-06-10'!$106:$106,'IN-06-10'!$131:$131,'IN-06-10'!$133:$133,'IN-06-10'!$135:$135,'IN-06-10'!$137:$137,'IN-06-10'!$139:$139,'IN-06-10'!$141:$141,'IN-06-10'!$143:$143,'IN-06-10'!$145:$145,'IN-06-10'!$147:$147,'IN-06-10'!$149:$149,'IN-06-10'!$151:$151,'IN-06-10'!$153:$153,'IN-06-10'!$155:$155,'IN-06-10'!$157:$157,'IN-06-10'!$159:$159,'IN-06-10'!$161:$161,'IN-06-10'!$163:$163,'IN-06-10'!$165:$165,'IN-06-10'!$167:$167,'IN-06-10'!$169:$169,'IN-06-10'!$172:$172,'IN-06-10'!$174:$174,'IN-06-10'!$176:$176,'IN-06-10'!$178:$178,'IN-06-10'!$180:$180,'IN-06-10'!$182:$182,'IN-06-10'!$184:$184,'IN-06-10'!$219:$223,'IN-06-10'!$226:$228,'IN-06-10'!$230:$230,'IN-06-10'!$250:$250,'IN-06-10'!$342:$346,'IN-06-10'!$354:$355,'IN-06-10'!$367:$367,'IN-06-10'!$408:$409,'IN-06-10'!$414:$414,'IN-06-10'!$425:$427,'IN-06-10'!$441:$442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89" authorId="0">
      <text>
        <r>
          <rPr>
            <b/>
            <sz val="8"/>
            <rFont val="Tahoma"/>
            <family val="0"/>
          </rPr>
          <t xml:space="preserve">Cotiza CEAR
</t>
        </r>
      </text>
    </comment>
    <comment ref="G367" authorId="1">
      <text>
        <r>
          <rPr>
            <b/>
            <sz val="8"/>
            <rFont val="Tahoma"/>
            <family val="0"/>
          </rPr>
          <t>Javier:</t>
        </r>
        <r>
          <rPr>
            <sz val="8"/>
            <rFont val="Tahoma"/>
            <family val="0"/>
          </rPr>
          <t xml:space="preserve">
en setiembre aumentó un 10% en todos los insumos
</t>
        </r>
      </text>
    </comment>
    <comment ref="I368" authorId="1">
      <text>
        <r>
          <rPr>
            <b/>
            <sz val="8"/>
            <rFont val="Tahoma"/>
            <family val="0"/>
          </rPr>
          <t>Javier:</t>
        </r>
        <r>
          <rPr>
            <sz val="8"/>
            <rFont val="Tahoma"/>
            <family val="0"/>
          </rPr>
          <t xml:space="preserve">
en setiembre aumentó un 10% en todos los insumos
</t>
        </r>
      </text>
    </comment>
    <comment ref="G314" authorId="2">
      <text>
        <r>
          <rPr>
            <b/>
            <sz val="8"/>
            <rFont val="Tahoma"/>
            <family val="0"/>
          </rPr>
          <t>Javier Borelli:</t>
        </r>
        <r>
          <rPr>
            <sz val="8"/>
            <rFont val="Tahoma"/>
            <family val="0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<sst xmlns="http://schemas.openxmlformats.org/spreadsheetml/2006/main" count="3996" uniqueCount="1480">
  <si>
    <t>sa.321</t>
  </si>
  <si>
    <t>sa.322</t>
  </si>
  <si>
    <t>sa.323</t>
  </si>
  <si>
    <t>sa.324</t>
  </si>
  <si>
    <t>sa.325</t>
  </si>
  <si>
    <t>sa.326</t>
  </si>
  <si>
    <t>sa.327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</si>
  <si>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</si>
  <si>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</si>
  <si>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</si>
  <si>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</si>
  <si>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</si>
  <si>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</si>
  <si>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</si>
  <si>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</si>
  <si>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</si>
  <si>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</si>
  <si>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</si>
  <si>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</si>
  <si>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</si>
  <si>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</si>
  <si>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</si>
  <si>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</si>
  <si>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</si>
  <si>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</si>
  <si>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</si>
  <si>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</si>
  <si>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</si>
  <si>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</si>
  <si>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</si>
  <si>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</si>
  <si>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TAPON MACHO IPS 1/2            </t>
  </si>
  <si>
    <t xml:space="preserve">TAPON MACHO IPS 3/4             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</si>
  <si>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</si>
  <si>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</si>
  <si>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</si>
  <si>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</si>
  <si>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</si>
  <si>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</si>
  <si>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</si>
  <si>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</si>
  <si>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</si>
  <si>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</si>
  <si>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</si>
  <si>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</si>
  <si>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</si>
  <si>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</si>
  <si>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</si>
  <si>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</si>
  <si>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</si>
  <si>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</si>
  <si>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</si>
  <si>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</si>
  <si>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PROVINCIA DE SALTA   -   SUBPROGRAMA CONTRATISTAS DE OBRAS PUBLICAS</t>
  </si>
  <si>
    <t>pi.033</t>
  </si>
  <si>
    <t>papel lija mediana</t>
  </si>
  <si>
    <t>ai.010</t>
  </si>
  <si>
    <t>masilla</t>
  </si>
  <si>
    <t xml:space="preserve">  </t>
  </si>
  <si>
    <t>el.024</t>
  </si>
  <si>
    <t xml:space="preserve">CABLE 2*4 SUBTERRANEO           </t>
  </si>
  <si>
    <t>el.175</t>
  </si>
  <si>
    <t>el.027</t>
  </si>
  <si>
    <t>el.009</t>
  </si>
  <si>
    <t>Importe</t>
  </si>
  <si>
    <t>grupo electrógeno CAT (3306ATAAC) 250 KV Stan by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</si>
  <si>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</si>
  <si>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</si>
  <si>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</si>
  <si>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</si>
  <si>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</si>
  <si>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</si>
  <si>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</si>
  <si>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</si>
  <si>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</si>
  <si>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</si>
  <si>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</si>
  <si>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</si>
  <si>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</si>
  <si>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</si>
  <si>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</si>
  <si>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</si>
  <si>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</si>
  <si>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</si>
  <si>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</si>
  <si>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sa.284</t>
  </si>
  <si>
    <t>flotante completo p/tanque 1/2"</t>
  </si>
  <si>
    <t>sa.221</t>
  </si>
  <si>
    <t>sellador p/rosca x 125 cm3</t>
  </si>
  <si>
    <t>el.058</t>
  </si>
  <si>
    <t>conector hierro 3/4"</t>
  </si>
  <si>
    <t>el.057</t>
  </si>
  <si>
    <t>caja octogonal chica ch.20</t>
  </si>
  <si>
    <t>JUN/10</t>
  </si>
  <si>
    <t>el.059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</si>
  <si>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</si>
  <si>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</si>
  <si>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</si>
  <si>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</si>
  <si>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</si>
  <si>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</si>
  <si>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</si>
  <si>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</si>
  <si>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</si>
  <si>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Tanque de reserva 500 lts. FºCº</t>
  </si>
  <si>
    <t>el.073</t>
  </si>
  <si>
    <t>el.151</t>
  </si>
  <si>
    <t>el.152</t>
  </si>
  <si>
    <t>el.153</t>
  </si>
  <si>
    <t>el.157</t>
  </si>
  <si>
    <t>el.158</t>
  </si>
  <si>
    <t>el.159</t>
  </si>
  <si>
    <t>el.160</t>
  </si>
  <si>
    <t>el.161</t>
  </si>
  <si>
    <t>el.162</t>
  </si>
  <si>
    <t>el.163</t>
  </si>
  <si>
    <t>el.164</t>
  </si>
  <si>
    <t>el.165</t>
  </si>
  <si>
    <t>el.166</t>
  </si>
  <si>
    <t>el.167</t>
  </si>
  <si>
    <t>el.168</t>
  </si>
  <si>
    <t>el.170</t>
  </si>
  <si>
    <t>ladrillo hueco portante 18x 18x30</t>
  </si>
  <si>
    <t>el.022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</si>
  <si>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</si>
  <si>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</si>
  <si>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</si>
  <si>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</si>
  <si>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</si>
  <si>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</si>
  <si>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</si>
  <si>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</si>
  <si>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</si>
  <si>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</si>
  <si>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</si>
  <si>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</si>
  <si>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</si>
  <si>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</si>
  <si>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</si>
  <si>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</si>
  <si>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</si>
  <si>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</si>
  <si>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</si>
  <si>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</si>
  <si>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</si>
  <si>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</si>
  <si>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</si>
  <si>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</si>
  <si>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</si>
  <si>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</si>
  <si>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</si>
  <si>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</si>
  <si>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</si>
  <si>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</si>
  <si>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</si>
  <si>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</si>
  <si>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</si>
  <si>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</si>
  <si>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</si>
  <si>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</si>
  <si>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</si>
  <si>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</si>
  <si>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</si>
  <si>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</si>
  <si>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</si>
  <si>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</si>
  <si>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</si>
  <si>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sa.900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</si>
  <si>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</si>
  <si>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</si>
  <si>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</si>
  <si>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</si>
  <si>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</si>
  <si>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</si>
  <si>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</si>
  <si>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</si>
  <si>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</si>
  <si>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</si>
  <si>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</si>
  <si>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</si>
  <si>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</si>
  <si>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</si>
  <si>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</si>
  <si>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</si>
  <si>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</si>
  <si>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</si>
  <si>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</si>
  <si>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</si>
  <si>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</si>
  <si>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</si>
  <si>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</si>
  <si>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</si>
  <si>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</si>
  <si>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</si>
  <si>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</si>
  <si>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</si>
  <si>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</si>
  <si>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</si>
  <si>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</si>
  <si>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</si>
  <si>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ai.005b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</si>
  <si>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</si>
  <si>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</si>
  <si>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</si>
  <si>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</si>
  <si>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</si>
  <si>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</si>
  <si>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</si>
  <si>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</si>
  <si>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</si>
  <si>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</si>
  <si>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</si>
  <si>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</si>
  <si>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</si>
  <si>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</si>
  <si>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</si>
  <si>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</si>
  <si>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</si>
  <si>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</si>
  <si>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</si>
  <si>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</si>
  <si>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</si>
  <si>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</si>
  <si>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</si>
  <si>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</si>
  <si>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</si>
  <si>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</si>
  <si>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</si>
  <si>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</si>
  <si>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</si>
  <si>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</si>
  <si>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</si>
  <si>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</si>
  <si>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</si>
  <si>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</si>
  <si>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</si>
  <si>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</si>
  <si>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</si>
  <si>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</si>
  <si>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</si>
  <si>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</si>
  <si>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</si>
  <si>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</si>
  <si>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</si>
  <si>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</si>
  <si>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</si>
  <si>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</si>
  <si>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</si>
  <si>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</si>
  <si>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</si>
  <si>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</si>
  <si>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</si>
  <si>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</si>
  <si>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</si>
  <si>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</si>
  <si>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</si>
  <si>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</si>
  <si>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</si>
  <si>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</si>
  <si>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</si>
  <si>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</si>
  <si>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</si>
  <si>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</si>
  <si>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</si>
  <si>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</si>
  <si>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</si>
  <si>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</si>
  <si>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</si>
  <si>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</si>
  <si>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</si>
  <si>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</si>
  <si>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</si>
  <si>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</si>
  <si>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</si>
  <si>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</si>
  <si>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</si>
  <si>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</si>
  <si>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</si>
  <si>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</si>
  <si>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</si>
  <si>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</si>
  <si>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</si>
  <si>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</si>
  <si>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</si>
  <si>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</si>
  <si>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</si>
  <si>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</si>
  <si>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</si>
  <si>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</si>
  <si>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</si>
  <si>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</si>
  <si>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</si>
  <si>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</si>
  <si>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</si>
  <si>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</si>
  <si>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</si>
  <si>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</si>
  <si>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</si>
  <si>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</si>
  <si>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</si>
  <si>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</si>
  <si>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</si>
  <si>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</si>
  <si>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</si>
  <si>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</si>
  <si>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</si>
  <si>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</si>
  <si>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so.002</t>
  </si>
  <si>
    <t>ai.012</t>
  </si>
  <si>
    <t>te.003</t>
  </si>
  <si>
    <t>ch.002</t>
  </si>
  <si>
    <t>ch.006</t>
  </si>
  <si>
    <t>so.009</t>
  </si>
  <si>
    <t>la.010</t>
  </si>
  <si>
    <t>bl.003</t>
  </si>
  <si>
    <t>ac.034</t>
  </si>
  <si>
    <t>pi.022</t>
  </si>
  <si>
    <t>az.001</t>
  </si>
  <si>
    <t>ca.001</t>
  </si>
  <si>
    <t>ca.008</t>
  </si>
  <si>
    <t>ca.013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</si>
  <si>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</si>
  <si>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</si>
  <si>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</si>
  <si>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</si>
  <si>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</si>
  <si>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</si>
  <si>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</si>
  <si>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</si>
  <si>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sa.015</t>
  </si>
  <si>
    <t>sa.090</t>
  </si>
  <si>
    <t>ga.137</t>
  </si>
  <si>
    <t>ga.126</t>
  </si>
  <si>
    <t>ga.010</t>
  </si>
  <si>
    <t>ga.116</t>
  </si>
  <si>
    <t>ga.114</t>
  </si>
  <si>
    <t>ga.113</t>
  </si>
  <si>
    <t>el.072</t>
  </si>
  <si>
    <t>el.060</t>
  </si>
  <si>
    <t>el.108</t>
  </si>
  <si>
    <t>el.100</t>
  </si>
  <si>
    <t>el.023</t>
  </si>
  <si>
    <t>el.149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</si>
  <si>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</si>
  <si>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</si>
  <si>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</si>
  <si>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</si>
  <si>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</si>
  <si>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</si>
  <si>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</si>
  <si>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</si>
  <si>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</si>
  <si>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</si>
  <si>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</si>
  <si>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</si>
  <si>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</si>
  <si>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</si>
  <si>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</si>
  <si>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</si>
  <si>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</si>
  <si>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</si>
  <si>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</si>
  <si>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</si>
  <si>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</si>
  <si>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</si>
  <si>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</si>
  <si>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</si>
  <si>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</si>
  <si>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</si>
  <si>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</si>
  <si>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</si>
  <si>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</si>
  <si>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</si>
  <si>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</si>
  <si>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</si>
  <si>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</si>
  <si>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</si>
  <si>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</si>
  <si>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</si>
  <si>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</si>
  <si>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</si>
  <si>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</si>
  <si>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</si>
  <si>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</si>
  <si>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</si>
  <si>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</si>
  <si>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</si>
  <si>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</si>
  <si>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</si>
  <si>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</si>
  <si>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</si>
  <si>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</si>
  <si>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</si>
  <si>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</si>
  <si>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</si>
  <si>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</si>
  <si>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</si>
  <si>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</si>
  <si>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</si>
  <si>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</si>
  <si>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</si>
  <si>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</si>
  <si>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</si>
  <si>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</si>
  <si>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</si>
  <si>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</si>
  <si>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</si>
  <si>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</si>
  <si>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</si>
  <si>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</si>
  <si>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</si>
  <si>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</si>
  <si>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</si>
  <si>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</si>
  <si>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</si>
  <si>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</si>
  <si>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</si>
  <si>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</si>
  <si>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</si>
  <si>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</si>
  <si>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</si>
  <si>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</si>
  <si>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</si>
  <si>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</si>
  <si>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</si>
  <si>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</si>
  <si>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</si>
  <si>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</si>
  <si>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</si>
  <si>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</si>
  <si>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</si>
  <si>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</si>
  <si>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</si>
  <si>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sa.286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</si>
  <si>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</si>
  <si>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</si>
  <si>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</si>
  <si>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</si>
  <si>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</si>
  <si>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</si>
  <si>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</si>
  <si>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</si>
  <si>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</si>
  <si>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</si>
  <si>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</si>
  <si>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</si>
  <si>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</si>
  <si>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</si>
  <si>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</si>
  <si>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</si>
  <si>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</si>
  <si>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</si>
  <si>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</si>
  <si>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</si>
  <si>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</si>
  <si>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</si>
  <si>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</si>
  <si>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</si>
  <si>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</si>
  <si>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</si>
  <si>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</si>
  <si>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</si>
  <si>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</si>
  <si>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</si>
  <si>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</si>
  <si>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</si>
  <si>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</si>
  <si>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</si>
  <si>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</si>
  <si>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</si>
  <si>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</si>
  <si>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</si>
  <si>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</si>
  <si>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</si>
  <si>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</si>
  <si>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</si>
  <si>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</si>
  <si>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</si>
  <si>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</si>
  <si>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</si>
  <si>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</si>
  <si>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</si>
  <si>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</si>
  <si>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</si>
  <si>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</si>
  <si>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</si>
  <si>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</si>
  <si>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</si>
  <si>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</si>
  <si>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</si>
  <si>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</si>
  <si>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</si>
  <si>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</si>
  <si>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</si>
  <si>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</si>
  <si>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</si>
  <si>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</si>
  <si>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</si>
  <si>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</si>
  <si>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</si>
  <si>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</si>
  <si>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</si>
  <si>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</si>
  <si>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</si>
  <si>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</si>
  <si>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</si>
  <si>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</si>
  <si>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</si>
  <si>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</si>
  <si>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</si>
  <si>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</si>
  <si>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</si>
  <si>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</si>
  <si>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</si>
  <si>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</si>
  <si>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</si>
  <si>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</si>
  <si>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</si>
  <si>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</si>
  <si>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</si>
  <si>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</si>
  <si>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</si>
  <si>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</si>
  <si>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</si>
  <si>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</si>
  <si>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</si>
  <si>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</si>
  <si>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</si>
  <si>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</si>
  <si>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</si>
  <si>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</si>
  <si>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</si>
  <si>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</si>
  <si>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</si>
  <si>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</si>
  <si>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</si>
  <si>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</si>
  <si>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</si>
  <si>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</si>
  <si>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</si>
  <si>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</si>
  <si>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</si>
  <si>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</si>
  <si>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</si>
  <si>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</si>
  <si>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</si>
  <si>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</si>
  <si>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</si>
  <si>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</si>
  <si>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</si>
  <si>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</si>
  <si>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</si>
  <si>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</si>
  <si>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</si>
  <si>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</si>
  <si>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</si>
  <si>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</si>
  <si>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</si>
  <si>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</si>
  <si>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</si>
  <si>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</si>
  <si>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</si>
  <si>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</si>
  <si>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</si>
  <si>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</si>
  <si>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</si>
  <si>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</si>
  <si>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</si>
  <si>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</si>
  <si>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</si>
  <si>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</si>
  <si>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</si>
  <si>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</si>
  <si>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</si>
  <si>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</si>
  <si>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</si>
  <si>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</si>
  <si>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</si>
  <si>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</si>
  <si>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</si>
  <si>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</si>
  <si>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</si>
  <si>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</si>
  <si>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</si>
  <si>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</si>
  <si>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</si>
  <si>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</si>
  <si>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</si>
  <si>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</si>
  <si>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</si>
  <si>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</si>
  <si>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</si>
  <si>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</si>
  <si>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</si>
  <si>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</si>
  <si>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</si>
  <si>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</si>
  <si>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</si>
  <si>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</si>
  <si>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</si>
  <si>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</si>
  <si>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</si>
  <si>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</si>
  <si>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</si>
  <si>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membrana c/aluminio 4 mm espesor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</si>
  <si>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</si>
  <si>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</si>
  <si>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</si>
  <si>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</si>
  <si>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</si>
  <si>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</si>
  <si>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</si>
  <si>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</si>
  <si>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</si>
  <si>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</si>
  <si>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</si>
  <si>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</si>
  <si>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</si>
  <si>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</si>
  <si>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eq.001</t>
  </si>
  <si>
    <t>camión Ford 14000 Diesel</t>
  </si>
  <si>
    <t>eq.002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</si>
  <si>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</si>
  <si>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</si>
  <si>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</si>
  <si>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</si>
  <si>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</si>
  <si>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</si>
  <si>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</si>
  <si>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</si>
  <si>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</si>
  <si>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</si>
  <si>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</si>
  <si>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</si>
  <si>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</si>
  <si>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</si>
  <si>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baldosa cerámica roja 8 x 16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</si>
  <si>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</si>
  <si>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</si>
  <si>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</si>
  <si>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</si>
  <si>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</si>
  <si>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</si>
  <si>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</si>
  <si>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</si>
  <si>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</si>
  <si>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</si>
  <si>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</si>
  <si>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</si>
  <si>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</si>
  <si>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</si>
  <si>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</si>
  <si>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</si>
  <si>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</si>
  <si>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</si>
  <si>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</si>
  <si>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</si>
  <si>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</si>
  <si>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</si>
  <si>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</si>
  <si>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</si>
  <si>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</si>
  <si>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</si>
  <si>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</si>
  <si>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</si>
  <si>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</si>
  <si>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</si>
  <si>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</si>
  <si>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</si>
  <si>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</si>
  <si>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</si>
  <si>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</si>
  <si>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</si>
  <si>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</si>
  <si>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</si>
  <si>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</si>
  <si>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</si>
  <si>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</si>
  <si>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</si>
  <si>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</si>
  <si>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</si>
  <si>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</si>
  <si>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</si>
  <si>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</si>
  <si>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</si>
  <si>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</si>
  <si>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</si>
  <si>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</si>
  <si>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</si>
  <si>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</si>
  <si>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</si>
  <si>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</si>
  <si>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</si>
  <si>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</si>
  <si>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planta eleboradora de hormigón</t>
  </si>
  <si>
    <t>eq.022</t>
  </si>
  <si>
    <t>enlame</t>
  </si>
  <si>
    <t>arena mediana</t>
  </si>
  <si>
    <t>eq.024</t>
  </si>
  <si>
    <t>$</t>
  </si>
  <si>
    <t>ai.004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</si>
  <si>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</si>
  <si>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</si>
  <si>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</si>
  <si>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</si>
  <si>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</si>
  <si>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</si>
  <si>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</si>
  <si>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</si>
  <si>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</si>
  <si>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</si>
  <si>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</si>
  <si>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</si>
  <si>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</si>
  <si>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</si>
  <si>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</si>
  <si>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</si>
  <si>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</si>
  <si>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</si>
  <si>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</si>
  <si>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</si>
  <si>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</si>
  <si>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</si>
  <si>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</si>
  <si>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</si>
  <si>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</si>
  <si>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</si>
  <si>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</si>
  <si>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</si>
  <si>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</si>
  <si>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</si>
  <si>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</si>
  <si>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</si>
  <si>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</si>
  <si>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</si>
  <si>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</si>
  <si>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ai.001</t>
  </si>
  <si>
    <t>membrana geotextil (150gr/m2)</t>
  </si>
  <si>
    <t>ai.002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</si>
  <si>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</si>
  <si>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</si>
  <si>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</si>
  <si>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</si>
  <si>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</si>
  <si>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</si>
  <si>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</si>
  <si>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</si>
  <si>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</si>
  <si>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</si>
  <si>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</si>
  <si>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</si>
  <si>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</si>
  <si>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</si>
  <si>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</si>
  <si>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</si>
  <si>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</si>
  <si>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</si>
  <si>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</si>
  <si>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</si>
  <si>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</si>
  <si>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</si>
  <si>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</si>
  <si>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</si>
  <si>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</si>
  <si>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</si>
  <si>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</si>
  <si>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</si>
  <si>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</si>
  <si>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</si>
  <si>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</si>
  <si>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</si>
  <si>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</si>
  <si>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</si>
  <si>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</si>
  <si>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</si>
  <si>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</si>
  <si>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</si>
  <si>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</si>
  <si>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</si>
  <si>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</si>
  <si>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</si>
  <si>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</si>
  <si>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</si>
  <si>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</si>
  <si>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</si>
  <si>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</si>
  <si>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</si>
  <si>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</si>
  <si>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m1</t>
  </si>
  <si>
    <t>so.030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</si>
  <si>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</si>
  <si>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</si>
  <si>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</si>
  <si>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</si>
  <si>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</si>
  <si>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</si>
  <si>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</si>
  <si>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</si>
  <si>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</si>
  <si>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</si>
  <si>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ramal Deriv. Gas E/F PE80 63x50mm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</si>
  <si>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</si>
  <si>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</si>
  <si>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</si>
  <si>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</si>
  <si>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</si>
  <si>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</si>
  <si>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</si>
  <si>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</si>
  <si>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</si>
  <si>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</si>
  <si>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</si>
  <si>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</si>
  <si>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</si>
  <si>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</si>
  <si>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</si>
  <si>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</si>
  <si>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</si>
  <si>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</si>
  <si>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</si>
  <si>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</si>
  <si>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</si>
  <si>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</si>
  <si>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</si>
  <si>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</si>
  <si>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</si>
  <si>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</si>
  <si>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</si>
  <si>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</si>
  <si>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</si>
  <si>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</si>
  <si>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</si>
  <si>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</si>
  <si>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</si>
  <si>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</si>
  <si>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</si>
  <si>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</si>
  <si>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</si>
  <si>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</si>
  <si>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</si>
  <si>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</si>
  <si>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</si>
  <si>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</si>
  <si>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</si>
  <si>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</si>
  <si>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</si>
  <si>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</si>
  <si>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</si>
  <si>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</si>
  <si>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</si>
  <si>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</si>
  <si>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</si>
  <si>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</si>
  <si>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</si>
  <si>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</si>
  <si>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</si>
  <si>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rg.024</t>
  </si>
  <si>
    <t>ra.030</t>
  </si>
  <si>
    <t>rg.026</t>
  </si>
  <si>
    <t>ra.032</t>
  </si>
  <si>
    <t>rg.028</t>
  </si>
  <si>
    <t>rg.030</t>
  </si>
  <si>
    <t>ra.034</t>
  </si>
  <si>
    <t>sa.223</t>
  </si>
  <si>
    <t>eq.026</t>
  </si>
  <si>
    <t>eq.044</t>
  </si>
  <si>
    <t>eq.050</t>
  </si>
  <si>
    <t>eq.028</t>
  </si>
  <si>
    <t>eq.030</t>
  </si>
  <si>
    <t>eq.040</t>
  </si>
  <si>
    <t>eq.048</t>
  </si>
  <si>
    <t>eq.052</t>
  </si>
  <si>
    <t>eq.054</t>
  </si>
  <si>
    <t>eq.058</t>
  </si>
  <si>
    <t>eq.060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</si>
  <si>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</si>
  <si>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</si>
  <si>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</si>
  <si>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</si>
  <si>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</si>
  <si>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</si>
  <si>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</si>
  <si>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</si>
  <si>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</si>
  <si>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</si>
  <si>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</si>
  <si>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</si>
  <si>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</si>
  <si>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el.020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</si>
  <si>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</si>
  <si>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</si>
  <si>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</si>
  <si>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</si>
  <si>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</si>
  <si>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</si>
  <si>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</si>
  <si>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</si>
  <si>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</si>
  <si>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</si>
  <si>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</si>
  <si>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</si>
  <si>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</si>
  <si>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</si>
  <si>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</si>
  <si>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rc.020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</si>
  <si>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</si>
  <si>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</si>
  <si>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</si>
  <si>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</si>
  <si>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</si>
  <si>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</si>
  <si>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</si>
  <si>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</si>
  <si>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</si>
  <si>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</si>
  <si>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</si>
  <si>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</si>
  <si>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pb.010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</si>
  <si>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</si>
  <si>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</si>
  <si>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</si>
  <si>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</si>
  <si>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</si>
  <si>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</si>
  <si>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</si>
  <si>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</si>
  <si>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</si>
  <si>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</si>
  <si>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</si>
  <si>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</si>
  <si>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</si>
  <si>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</si>
  <si>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</si>
  <si>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</si>
  <si>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</si>
  <si>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</si>
  <si>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</si>
  <si>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</si>
  <si>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</si>
  <si>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</si>
  <si>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</si>
  <si>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</si>
  <si>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</si>
  <si>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</si>
  <si>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</si>
  <si>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</si>
  <si>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</si>
  <si>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</si>
  <si>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</si>
  <si>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</si>
  <si>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</si>
  <si>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</si>
  <si>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</si>
  <si>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</si>
  <si>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</si>
  <si>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</si>
  <si>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</si>
  <si>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</si>
  <si>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</si>
  <si>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</si>
  <si>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</si>
  <si>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</si>
  <si>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</si>
  <si>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</si>
  <si>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</si>
  <si>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</si>
  <si>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</si>
  <si>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</si>
  <si>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</si>
  <si>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</si>
  <si>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</si>
  <si>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</si>
  <si>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</si>
  <si>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</si>
  <si>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</si>
  <si>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</si>
  <si>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</si>
  <si>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</si>
  <si>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</si>
  <si>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</si>
  <si>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</si>
  <si>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</si>
  <si>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</si>
  <si>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</si>
  <si>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</si>
  <si>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</si>
  <si>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</si>
  <si>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</si>
  <si>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</si>
  <si>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</si>
  <si>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</si>
  <si>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</si>
  <si>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</si>
  <si>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</si>
  <si>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</si>
  <si>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</si>
  <si>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</si>
  <si>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</si>
  <si>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</si>
  <si>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</si>
  <si>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</si>
  <si>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</si>
  <si>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</si>
  <si>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</si>
  <si>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</si>
  <si>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</si>
  <si>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</si>
  <si>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</si>
  <si>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</si>
  <si>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re.025</t>
  </si>
  <si>
    <t>re.030</t>
  </si>
  <si>
    <t>re.035</t>
  </si>
  <si>
    <t>re.040</t>
  </si>
  <si>
    <t>re.045</t>
  </si>
  <si>
    <t>re.050</t>
  </si>
  <si>
    <t>re.055</t>
  </si>
  <si>
    <t>re.060</t>
  </si>
  <si>
    <t>re.065</t>
  </si>
  <si>
    <t>re.070</t>
  </si>
  <si>
    <t>re.075</t>
  </si>
  <si>
    <t>re.080</t>
  </si>
  <si>
    <t>re.085</t>
  </si>
  <si>
    <t>re.090</t>
  </si>
  <si>
    <t>re.095</t>
  </si>
  <si>
    <t>re.100</t>
  </si>
  <si>
    <t>re.105</t>
  </si>
  <si>
    <t>re.110</t>
  </si>
  <si>
    <t>tendido baja tension</t>
  </si>
  <si>
    <t>alumbrado público p/barrios</t>
  </si>
  <si>
    <t>re.043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</si>
  <si>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</si>
  <si>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</si>
  <si>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</si>
  <si>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</si>
  <si>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</si>
  <si>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</si>
  <si>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</si>
  <si>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</si>
  <si>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</si>
  <si>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</si>
  <si>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</si>
  <si>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</si>
  <si>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</si>
  <si>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</si>
  <si>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</si>
  <si>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</si>
  <si>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</si>
  <si>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</si>
  <si>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</si>
  <si>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</si>
  <si>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</si>
  <si>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</si>
  <si>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</si>
  <si>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</si>
  <si>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</si>
  <si>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</si>
  <si>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</si>
  <si>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</si>
  <si>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</si>
  <si>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</si>
  <si>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</si>
  <si>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</si>
  <si>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</si>
  <si>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</si>
  <si>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</si>
  <si>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</si>
  <si>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</si>
  <si>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</si>
  <si>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</si>
  <si>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</si>
  <si>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</si>
  <si>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</si>
  <si>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</si>
  <si>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</si>
  <si>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</si>
  <si>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</si>
  <si>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</si>
  <si>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</si>
  <si>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</si>
  <si>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</si>
  <si>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</si>
  <si>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</si>
  <si>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</si>
  <si>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</si>
  <si>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</si>
  <si>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</si>
  <si>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</si>
  <si>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</si>
  <si>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</si>
  <si>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</si>
  <si>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</si>
  <si>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</si>
  <si>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</si>
  <si>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</si>
  <si>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</si>
  <si>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</si>
  <si>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</si>
  <si>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</si>
  <si>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</si>
  <si>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</si>
  <si>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</si>
  <si>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</si>
  <si>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</si>
  <si>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</si>
  <si>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</si>
  <si>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</si>
  <si>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</si>
  <si>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</si>
  <si>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</si>
  <si>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</si>
  <si>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</si>
  <si>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</si>
  <si>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</si>
  <si>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</si>
  <si>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</si>
  <si>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</si>
  <si>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</si>
  <si>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</si>
  <si>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</si>
  <si>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</si>
  <si>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</si>
  <si>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</si>
  <si>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</si>
  <si>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</si>
  <si>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</si>
  <si>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</si>
  <si>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</si>
  <si>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</si>
  <si>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</si>
  <si>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</si>
  <si>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</si>
  <si>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</si>
  <si>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</si>
  <si>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</si>
  <si>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</si>
  <si>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</si>
  <si>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</si>
  <si>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</si>
  <si>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arido grueso lavado1 : 5</t>
  </si>
  <si>
    <t>ar.010</t>
  </si>
  <si>
    <t>piedra bola</t>
  </si>
  <si>
    <t>eq.001'</t>
  </si>
  <si>
    <t>eq.027</t>
  </si>
  <si>
    <t>eq.029</t>
  </si>
  <si>
    <t>eq.031</t>
  </si>
  <si>
    <t>eq.041</t>
  </si>
  <si>
    <t>eq.046</t>
  </si>
  <si>
    <t>eq.049</t>
  </si>
  <si>
    <t>eq.051</t>
  </si>
  <si>
    <t>eq.053</t>
  </si>
  <si>
    <t>eq.055</t>
  </si>
  <si>
    <t>eq.059</t>
  </si>
  <si>
    <t>eq.061</t>
  </si>
  <si>
    <t>eq.062</t>
  </si>
  <si>
    <t>martillo neumático</t>
  </si>
  <si>
    <t>eq.063</t>
  </si>
  <si>
    <t>eq.064</t>
  </si>
  <si>
    <t>cortadora de hierro eléctrica tipo Simplex 32</t>
  </si>
  <si>
    <t>eq.065</t>
  </si>
  <si>
    <t>cortadora de hierro eléctrica</t>
  </si>
  <si>
    <t>eq.066</t>
  </si>
  <si>
    <t>motocompresor tipo P185 WR</t>
  </si>
  <si>
    <t>eq.067</t>
  </si>
  <si>
    <t>motocompresor</t>
  </si>
  <si>
    <t>eq.068</t>
  </si>
  <si>
    <t>eq.069</t>
  </si>
  <si>
    <t>eq.070</t>
  </si>
  <si>
    <t>equipo regador de agua  cap. 6000 lt</t>
  </si>
  <si>
    <t>eq.071</t>
  </si>
  <si>
    <t>eq.072</t>
  </si>
  <si>
    <t>equipo regador de asfalto cap 5000 lt</t>
  </si>
  <si>
    <t>eq.073</t>
  </si>
  <si>
    <t>eq.074</t>
  </si>
  <si>
    <t>barredora sopladora</t>
  </si>
  <si>
    <t>eq.075</t>
  </si>
  <si>
    <t>eq.076</t>
  </si>
  <si>
    <t>eq.077</t>
  </si>
  <si>
    <t>aplanadora autopropulsado</t>
  </si>
  <si>
    <t>eq.078</t>
  </si>
  <si>
    <t>camioneta</t>
  </si>
  <si>
    <t>eq.079</t>
  </si>
  <si>
    <t>eq.082</t>
  </si>
  <si>
    <t>rastra de disco</t>
  </si>
  <si>
    <t>eq.083</t>
  </si>
  <si>
    <t>eq.084</t>
  </si>
  <si>
    <t>eq.085</t>
  </si>
  <si>
    <t>eq.086</t>
  </si>
  <si>
    <t>eq.087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</si>
  <si>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</si>
  <si>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</si>
  <si>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</si>
  <si>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</si>
  <si>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</si>
  <si>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</si>
  <si>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</si>
  <si>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</si>
  <si>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li.007</t>
  </si>
  <si>
    <t>cal hidratada granel</t>
  </si>
  <si>
    <t>ma.021</t>
  </si>
  <si>
    <t>poste de quebracho entero 2,40m</t>
  </si>
  <si>
    <t>ma.022</t>
  </si>
  <si>
    <t>medio  poste de quebracho 2,20</t>
  </si>
  <si>
    <t>ma.023</t>
  </si>
  <si>
    <t>varllones de 1,40 mts.</t>
  </si>
  <si>
    <t>ma.024</t>
  </si>
  <si>
    <t>varllas de 1,20 mts.</t>
  </si>
  <si>
    <t>ma.025</t>
  </si>
  <si>
    <t>mo.005</t>
  </si>
  <si>
    <t>adicional p/especialidad</t>
  </si>
  <si>
    <t>rv.011</t>
  </si>
  <si>
    <t>caño chapa ondulada Ø 0,80 mts.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</si>
  <si>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</si>
  <si>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</si>
  <si>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</si>
  <si>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</si>
  <si>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</si>
  <si>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</si>
  <si>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</si>
  <si>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</si>
  <si>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</si>
  <si>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</si>
  <si>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</si>
  <si>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</si>
  <si>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</si>
  <si>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</si>
  <si>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</si>
  <si>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</si>
  <si>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</si>
  <si>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</si>
  <si>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</si>
  <si>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</si>
  <si>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</si>
  <si>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</si>
  <si>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</si>
  <si>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</si>
  <si>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</si>
  <si>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</si>
  <si>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</si>
  <si>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</si>
  <si>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</si>
  <si>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</si>
  <si>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</si>
  <si>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</si>
  <si>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</si>
  <si>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</si>
  <si>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</si>
  <si>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</si>
  <si>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</si>
  <si>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</si>
  <si>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</si>
  <si>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</si>
  <si>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</si>
  <si>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</si>
  <si>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</si>
  <si>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</si>
  <si>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</si>
  <si>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</si>
  <si>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</si>
  <si>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</si>
  <si>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</si>
  <si>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</si>
  <si>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</si>
  <si>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</si>
  <si>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</si>
  <si>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</si>
  <si>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</si>
  <si>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</si>
  <si>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</si>
  <si>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</si>
  <si>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</si>
  <si>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</si>
  <si>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</si>
  <si>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</si>
  <si>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</si>
  <si>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</si>
  <si>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</si>
  <si>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</si>
  <si>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</si>
  <si>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</si>
  <si>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</si>
  <si>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</si>
  <si>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</si>
  <si>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</si>
  <si>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</si>
  <si>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</si>
  <si>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</si>
  <si>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</si>
  <si>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</si>
  <si>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</si>
  <si>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</si>
  <si>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</si>
  <si>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</si>
  <si>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</si>
  <si>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</si>
  <si>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</si>
  <si>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</si>
  <si>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</si>
  <si>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</si>
  <si>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</si>
  <si>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</si>
  <si>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</si>
  <si>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</si>
  <si>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</si>
  <si>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</si>
  <si>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</si>
  <si>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</si>
  <si>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</si>
  <si>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</si>
  <si>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</si>
  <si>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</si>
  <si>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</si>
  <si>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</si>
  <si>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</si>
  <si>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</si>
  <si>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</si>
  <si>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</si>
  <si>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</si>
  <si>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</si>
  <si>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</si>
  <si>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</si>
  <si>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</si>
  <si>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</si>
  <si>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</si>
  <si>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</si>
  <si>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</si>
  <si>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</si>
  <si>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</si>
  <si>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</si>
  <si>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</si>
  <si>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</si>
  <si>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</si>
  <si>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</si>
  <si>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grupo electrógeno CAT (3306ATAAC) 240 KV Stan by</t>
  </si>
  <si>
    <t>retroexcavadora s/oruga 140 HP 0,80m3</t>
  </si>
  <si>
    <t>dobladora de hierro Trebol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</si>
  <si>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</si>
  <si>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</si>
  <si>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</si>
  <si>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</si>
  <si>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</si>
  <si>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</si>
  <si>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</si>
  <si>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</si>
  <si>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</si>
  <si>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</si>
  <si>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</si>
  <si>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</si>
  <si>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</si>
  <si>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</si>
  <si>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</si>
  <si>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</si>
  <si>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*(RD en Agosto cotizò con IVA)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</si>
  <si>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</si>
  <si>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</si>
  <si>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</si>
  <si>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</si>
  <si>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</si>
  <si>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</si>
  <si>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</si>
  <si>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</si>
  <si>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cuerpo motorarg CFD 669/30  30H.P.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</si>
  <si>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</si>
  <si>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</si>
  <si>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</si>
  <si>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</si>
  <si>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</si>
  <si>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</si>
  <si>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</si>
  <si>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</si>
  <si>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</si>
  <si>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</si>
  <si>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</si>
  <si>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</si>
  <si>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</si>
  <si>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</si>
  <si>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</si>
  <si>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</si>
  <si>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</si>
  <si>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</si>
  <si>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</si>
  <si>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</si>
  <si>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</si>
  <si>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</si>
  <si>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</si>
  <si>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</si>
  <si>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</si>
  <si>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</si>
  <si>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</si>
  <si>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</si>
  <si>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</si>
  <si>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</si>
  <si>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</si>
  <si>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</si>
  <si>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</si>
  <si>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</si>
  <si>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</si>
  <si>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</si>
  <si>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</si>
  <si>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</si>
  <si>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</si>
  <si>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</si>
  <si>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</si>
  <si>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</si>
  <si>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</si>
  <si>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</si>
  <si>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</si>
  <si>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</si>
  <si>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</si>
  <si>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</si>
  <si>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</si>
  <si>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</si>
  <si>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</si>
  <si>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</si>
  <si>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</si>
  <si>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</si>
  <si>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</si>
  <si>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</si>
  <si>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</si>
  <si>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</si>
  <si>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</si>
  <si>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</si>
  <si>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</si>
  <si>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</si>
  <si>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</si>
  <si>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</si>
  <si>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LLAVE 1 TOM.EXT.LUMIN.MIG.1792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</si>
  <si>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</si>
  <si>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</si>
  <si>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</si>
  <si>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</si>
  <si>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</si>
  <si>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</si>
  <si>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</si>
  <si>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</si>
  <si>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el171</t>
  </si>
  <si>
    <t>CAJA OCTOGONALES GRANDES N°20</t>
  </si>
  <si>
    <t>el172</t>
  </si>
  <si>
    <t>CAJA OCTOGONALES CHICAS N°20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</si>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</sst>
</file>

<file path=xl/styles.xml><?xml version="1.0" encoding="utf-8"?>
<styleSheet xmlns="http://schemas.openxmlformats.org/spreadsheetml/2006/main">
  <numFmts count="6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0_)"/>
    <numFmt numFmtId="189" formatCode="_ * #,##0.000_ ;_ * \-#,##0.000_ ;_ * &quot;-&quot;??_ ;_ @_ "/>
    <numFmt numFmtId="190" formatCode="_ * #,##0.00000_ ;_ * \-#,##0.00000_ ;_ * &quot;-&quot;??_ ;_ @_ "/>
    <numFmt numFmtId="191" formatCode="_ * #,##0_ ;_ * \-#,##0_ ;_ * &quot;-&quot;??_ ;_ @_ "/>
    <numFmt numFmtId="192" formatCode="_ &quot;$&quot;\ * #,##0.000_ ;_ &quot;$&quot;\ * \-#,##0.000_ ;_ &quot;$&quot;\ * &quot;-&quot;??_ ;_ @_ "/>
    <numFmt numFmtId="193" formatCode="0.00000"/>
    <numFmt numFmtId="194" formatCode="0.0000"/>
    <numFmt numFmtId="195" formatCode="0.000"/>
    <numFmt numFmtId="196" formatCode="_ * #,##0.0000_ ;_ * \-#,##0.0000_ ;_ * &quot;-&quot;??_ ;_ @_ "/>
    <numFmt numFmtId="197" formatCode="0.0"/>
    <numFmt numFmtId="198" formatCode="_-* #,##0.0000\ _p_t_a_-;\-* #,##0.0000\ _p_t_a_-;_-* &quot;-&quot;????\ _p_t_a_-;_-@_-"/>
    <numFmt numFmtId="199" formatCode="_-* #,##0.000\ _p_t_a_-;\-* #,##0.000\ _p_t_a_-;_-* &quot;-&quot;????\ _p_t_a_-;_-@_-"/>
    <numFmt numFmtId="200" formatCode="_ &quot;$&quot;\ * #,##0.000_ ;_ &quot;$&quot;\ * \-#,##0.000_ ;_ &quot;$&quot;\ * &quot;-&quot;_ ;_ @_ "/>
    <numFmt numFmtId="201" formatCode="#,##0.000_ ;\-#,##0.000\ "/>
    <numFmt numFmtId="202" formatCode="&quot;$&quot;\ #.##000;&quot;$&quot;\ \-#.##000"/>
    <numFmt numFmtId="203" formatCode="&quot;$&quot;\ #,##0.00"/>
    <numFmt numFmtId="204" formatCode="_ * #,##0.0000000000000000000000_ ;_ * \-#,##0.0000000000000000000000_ ;_ * &quot;-&quot;??_ ;_ @_ "/>
    <numFmt numFmtId="205" formatCode="0.00000000"/>
    <numFmt numFmtId="206" formatCode="0.000000000"/>
    <numFmt numFmtId="207" formatCode="0.0000000000"/>
    <numFmt numFmtId="208" formatCode="0.0000000"/>
    <numFmt numFmtId="209" formatCode="0.000000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&quot;$&quot;\ #.##000;&quot;$&quot;\-#.##000"/>
    <numFmt numFmtId="213" formatCode="_(&quot;$&quot;\ * #,##0.000_);_(&quot;$&quot;\ * \(#,##0.000\);_(&quot;$&quot;\ * &quot;-&quot;??_);_(@_)"/>
    <numFmt numFmtId="214" formatCode="&quot;$&quot;\ #.##000;\(&quot;$&quot;\ #.##000\)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#.##000\ &quot;$&quot;;\-#.##000\ &quot;$&quot;"/>
    <numFmt numFmtId="220" formatCode="_-* #,##0.000\ _$_-;\-* #,##0.000\ _$_-;_-* &quot;-&quot;???\ _$_-;_-@_-"/>
  </numFmts>
  <fonts count="32">
    <font>
      <sz val="12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sz val="10"/>
      <color indexed="9"/>
      <name val="MS Sans Serif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8"/>
      <name val="Courier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88" fontId="1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22">
      <alignment/>
      <protection/>
    </xf>
    <xf numFmtId="0" fontId="9" fillId="3" borderId="0" xfId="22" applyFont="1" applyFill="1">
      <alignment/>
      <protection/>
    </xf>
    <xf numFmtId="0" fontId="9" fillId="5" borderId="5" xfId="22" applyFont="1" applyFill="1" applyBorder="1">
      <alignment/>
      <protection/>
    </xf>
    <xf numFmtId="0" fontId="1" fillId="0" borderId="0" xfId="0" applyFont="1" applyFill="1" applyAlignment="1">
      <alignment horizontal="center"/>
    </xf>
    <xf numFmtId="190" fontId="1" fillId="0" borderId="0" xfId="17" applyNumberFormat="1" applyFont="1" applyAlignment="1">
      <alignment/>
    </xf>
    <xf numFmtId="190" fontId="6" fillId="4" borderId="6" xfId="17" applyNumberFormat="1" applyFont="1" applyFill="1" applyBorder="1" applyAlignment="1">
      <alignment horizontal="center" vertical="center" wrapText="1"/>
    </xf>
    <xf numFmtId="189" fontId="1" fillId="0" borderId="0" xfId="17" applyNumberFormat="1" applyFont="1" applyAlignment="1">
      <alignment/>
    </xf>
    <xf numFmtId="0" fontId="7" fillId="0" borderId="0" xfId="22" applyFont="1">
      <alignment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9" xfId="22" applyFont="1" applyBorder="1">
      <alignment/>
      <protection/>
    </xf>
    <xf numFmtId="0" fontId="7" fillId="0" borderId="10" xfId="22" applyFont="1" applyBorder="1">
      <alignment/>
      <protection/>
    </xf>
    <xf numFmtId="0" fontId="7" fillId="0" borderId="11" xfId="22" applyFont="1" applyBorder="1">
      <alignment/>
      <protection/>
    </xf>
    <xf numFmtId="191" fontId="7" fillId="0" borderId="7" xfId="17" applyNumberFormat="1" applyBorder="1" applyAlignment="1">
      <alignment/>
    </xf>
    <xf numFmtId="191" fontId="7" fillId="0" borderId="12" xfId="17" applyNumberFormat="1" applyBorder="1" applyAlignment="1">
      <alignment/>
    </xf>
    <xf numFmtId="191" fontId="7" fillId="0" borderId="8" xfId="17" applyNumberFormat="1" applyBorder="1" applyAlignment="1">
      <alignment/>
    </xf>
    <xf numFmtId="0" fontId="10" fillId="0" borderId="0" xfId="0" applyFont="1" applyAlignment="1">
      <alignment horizontal="right"/>
    </xf>
    <xf numFmtId="190" fontId="10" fillId="0" borderId="0" xfId="17" applyNumberFormat="1" applyFont="1" applyAlignment="1">
      <alignment horizontal="left"/>
    </xf>
    <xf numFmtId="0" fontId="7" fillId="0" borderId="0" xfId="22" applyFont="1" applyAlignment="1">
      <alignment horizontal="right"/>
      <protection/>
    </xf>
    <xf numFmtId="0" fontId="4" fillId="0" borderId="0" xfId="0" applyFont="1" applyAlignment="1">
      <alignment horizontal="center"/>
    </xf>
    <xf numFmtId="1" fontId="2" fillId="2" borderId="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2" borderId="2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6" borderId="13" xfId="22" applyFont="1" applyFill="1" applyBorder="1" applyAlignment="1">
      <alignment horizontal="center" vertical="center" wrapText="1"/>
      <protection/>
    </xf>
    <xf numFmtId="0" fontId="2" fillId="4" borderId="13" xfId="22" applyFont="1" applyFill="1" applyBorder="1" applyAlignment="1">
      <alignment horizontal="center" vertical="center" wrapText="1"/>
      <protection/>
    </xf>
    <xf numFmtId="0" fontId="9" fillId="6" borderId="14" xfId="22" applyFont="1" applyFill="1" applyBorder="1" applyAlignment="1">
      <alignment horizontal="center" vertical="center" wrapText="1"/>
      <protection/>
    </xf>
    <xf numFmtId="0" fontId="2" fillId="4" borderId="15" xfId="2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9" fontId="2" fillId="0" borderId="2" xfId="17" applyNumberFormat="1" applyFont="1" applyFill="1" applyBorder="1" applyAlignment="1" applyProtection="1">
      <alignment/>
      <protection/>
    </xf>
    <xf numFmtId="189" fontId="2" fillId="0" borderId="1" xfId="17" applyNumberFormat="1" applyFont="1" applyFill="1" applyBorder="1" applyAlignment="1" applyProtection="1">
      <alignment/>
      <protection/>
    </xf>
    <xf numFmtId="189" fontId="2" fillId="0" borderId="1" xfId="17" applyNumberFormat="1" applyFont="1" applyFill="1" applyBorder="1" applyAlignment="1" applyProtection="1">
      <alignment/>
      <protection/>
    </xf>
    <xf numFmtId="189" fontId="1" fillId="0" borderId="0" xfId="17" applyNumberFormat="1" applyFont="1" applyAlignment="1" applyProtection="1">
      <alignment/>
      <protection/>
    </xf>
    <xf numFmtId="189" fontId="1" fillId="3" borderId="0" xfId="17" applyNumberFormat="1" applyFont="1" applyFill="1" applyAlignment="1">
      <alignment/>
    </xf>
    <xf numFmtId="189" fontId="2" fillId="3" borderId="2" xfId="17" applyNumberFormat="1" applyFont="1" applyFill="1" applyBorder="1" applyAlignment="1" applyProtection="1">
      <alignment/>
      <protection/>
    </xf>
    <xf numFmtId="189" fontId="2" fillId="3" borderId="1" xfId="17" applyNumberFormat="1" applyFont="1" applyFill="1" applyBorder="1" applyAlignment="1" applyProtection="1">
      <alignment/>
      <protection/>
    </xf>
    <xf numFmtId="189" fontId="2" fillId="3" borderId="1" xfId="17" applyNumberFormat="1" applyFont="1" applyFill="1" applyBorder="1" applyAlignment="1" applyProtection="1">
      <alignment/>
      <protection/>
    </xf>
    <xf numFmtId="189" fontId="1" fillId="3" borderId="0" xfId="17" applyNumberFormat="1" applyFont="1" applyFill="1" applyAlignment="1" applyProtection="1">
      <alignment/>
      <protection/>
    </xf>
    <xf numFmtId="189" fontId="1" fillId="3" borderId="2" xfId="17" applyNumberFormat="1" applyFont="1" applyFill="1" applyBorder="1" applyAlignment="1" applyProtection="1">
      <alignment/>
      <protection/>
    </xf>
    <xf numFmtId="189" fontId="10" fillId="3" borderId="1" xfId="17" applyNumberFormat="1" applyFont="1" applyFill="1" applyBorder="1" applyAlignment="1">
      <alignment/>
    </xf>
    <xf numFmtId="189" fontId="1" fillId="3" borderId="1" xfId="17" applyNumberFormat="1" applyFont="1" applyFill="1" applyBorder="1" applyAlignment="1" applyProtection="1">
      <alignment/>
      <protection/>
    </xf>
    <xf numFmtId="189" fontId="1" fillId="0" borderId="0" xfId="17" applyNumberFormat="1" applyFont="1" applyBorder="1" applyAlignment="1" applyProtection="1">
      <alignment horizontal="center"/>
      <protection/>
    </xf>
    <xf numFmtId="189" fontId="1" fillId="0" borderId="0" xfId="17" applyNumberFormat="1" applyFont="1" applyAlignment="1" applyProtection="1">
      <alignment horizontal="center"/>
      <protection/>
    </xf>
    <xf numFmtId="189" fontId="10" fillId="0" borderId="1" xfId="17" applyNumberFormat="1" applyFont="1" applyFill="1" applyBorder="1" applyAlignment="1">
      <alignment/>
    </xf>
    <xf numFmtId="189" fontId="1" fillId="0" borderId="0" xfId="17" applyNumberFormat="1" applyFont="1" applyBorder="1" applyAlignment="1">
      <alignment horizontal="center"/>
    </xf>
    <xf numFmtId="189" fontId="1" fillId="0" borderId="0" xfId="17" applyNumberFormat="1" applyFont="1" applyFill="1" applyAlignment="1" applyProtection="1">
      <alignment/>
      <protection/>
    </xf>
    <xf numFmtId="189" fontId="2" fillId="0" borderId="2" xfId="17" applyNumberFormat="1" applyFont="1" applyFill="1" applyBorder="1" applyAlignment="1">
      <alignment/>
    </xf>
    <xf numFmtId="189" fontId="2" fillId="0" borderId="1" xfId="17" applyNumberFormat="1" applyFont="1" applyFill="1" applyBorder="1" applyAlignment="1">
      <alignment/>
    </xf>
    <xf numFmtId="196" fontId="1" fillId="0" borderId="0" xfId="17" applyNumberFormat="1" applyFont="1" applyAlignment="1">
      <alignment/>
    </xf>
    <xf numFmtId="196" fontId="2" fillId="2" borderId="2" xfId="17" applyNumberFormat="1" applyFont="1" applyFill="1" applyBorder="1" applyAlignment="1" applyProtection="1">
      <alignment/>
      <protection/>
    </xf>
    <xf numFmtId="196" fontId="2" fillId="0" borderId="1" xfId="17" applyNumberFormat="1" applyFont="1" applyFill="1" applyBorder="1" applyAlignment="1" applyProtection="1">
      <alignment/>
      <protection/>
    </xf>
    <xf numFmtId="196" fontId="1" fillId="0" borderId="0" xfId="17" applyNumberFormat="1" applyFont="1" applyAlignment="1" applyProtection="1">
      <alignment/>
      <protection/>
    </xf>
    <xf numFmtId="196" fontId="1" fillId="3" borderId="0" xfId="17" applyNumberFormat="1" applyFont="1" applyFill="1" applyAlignment="1">
      <alignment/>
    </xf>
    <xf numFmtId="196" fontId="2" fillId="2" borderId="2" xfId="17" applyNumberFormat="1" applyFont="1" applyFill="1" applyBorder="1" applyAlignment="1" applyProtection="1">
      <alignment/>
      <protection/>
    </xf>
    <xf numFmtId="196" fontId="2" fillId="3" borderId="1" xfId="17" applyNumberFormat="1" applyFont="1" applyFill="1" applyBorder="1" applyAlignment="1" applyProtection="1">
      <alignment/>
      <protection/>
    </xf>
    <xf numFmtId="196" fontId="1" fillId="3" borderId="0" xfId="17" applyNumberFormat="1" applyFont="1" applyFill="1" applyAlignment="1" applyProtection="1">
      <alignment/>
      <protection/>
    </xf>
    <xf numFmtId="196" fontId="1" fillId="2" borderId="2" xfId="17" applyNumberFormat="1" applyFont="1" applyFill="1" applyBorder="1" applyAlignment="1" applyProtection="1">
      <alignment/>
      <protection/>
    </xf>
    <xf numFmtId="196" fontId="1" fillId="3" borderId="1" xfId="17" applyNumberFormat="1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0" fillId="3" borderId="0" xfId="0" applyFont="1" applyFill="1" applyAlignment="1" applyProtection="1">
      <alignment horizontal="left"/>
      <protection/>
    </xf>
    <xf numFmtId="188" fontId="10" fillId="0" borderId="0" xfId="0" applyNumberFormat="1" applyFont="1" applyAlignment="1" applyProtection="1">
      <alignment horizontal="left"/>
      <protection/>
    </xf>
    <xf numFmtId="189" fontId="1" fillId="0" borderId="0" xfId="17" applyNumberFormat="1" applyFont="1" applyAlignment="1">
      <alignment horizontal="left"/>
    </xf>
    <xf numFmtId="198" fontId="13" fillId="0" borderId="0" xfId="17" applyNumberFormat="1" applyFont="1" applyFill="1" applyBorder="1" applyAlignment="1" applyProtection="1">
      <alignment/>
      <protection/>
    </xf>
    <xf numFmtId="195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5" fillId="0" borderId="0" xfId="0" applyFont="1" applyAlignment="1">
      <alignment/>
    </xf>
    <xf numFmtId="192" fontId="4" fillId="0" borderId="0" xfId="19" applyNumberFormat="1" applyFont="1" applyAlignment="1">
      <alignment/>
    </xf>
    <xf numFmtId="0" fontId="1" fillId="3" borderId="13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 horizontal="center"/>
      <protection/>
    </xf>
    <xf numFmtId="195" fontId="1" fillId="0" borderId="0" xfId="0" applyNumberFormat="1" applyFont="1" applyAlignment="1" applyProtection="1">
      <alignment/>
      <protection/>
    </xf>
    <xf numFmtId="0" fontId="1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192" fontId="1" fillId="7" borderId="12" xfId="19" applyNumberFormat="1" applyFont="1" applyFill="1" applyBorder="1" applyAlignment="1">
      <alignment/>
    </xf>
    <xf numFmtId="189" fontId="16" fillId="3" borderId="12" xfId="17" applyNumberFormat="1" applyFont="1" applyFill="1" applyBorder="1" applyAlignment="1" applyProtection="1" quotePrefix="1">
      <alignment/>
      <protection locked="0"/>
    </xf>
    <xf numFmtId="195" fontId="0" fillId="0" borderId="0" xfId="0" applyNumberFormat="1" applyAlignment="1">
      <alignment/>
    </xf>
    <xf numFmtId="197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197" fontId="0" fillId="0" borderId="18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95" fontId="1" fillId="2" borderId="0" xfId="0" applyNumberFormat="1" applyFont="1" applyFill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17" fontId="0" fillId="0" borderId="19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17" fillId="0" borderId="19" xfId="0" applyFont="1" applyBorder="1" applyAlignment="1">
      <alignment horizontal="center"/>
    </xf>
    <xf numFmtId="195" fontId="17" fillId="0" borderId="20" xfId="0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195" fontId="17" fillId="0" borderId="24" xfId="0" applyNumberFormat="1" applyFont="1" applyBorder="1" applyAlignment="1">
      <alignment/>
    </xf>
    <xf numFmtId="189" fontId="1" fillId="3" borderId="12" xfId="17" applyNumberFormat="1" applyFont="1" applyFill="1" applyBorder="1" applyAlignment="1" applyProtection="1" quotePrefix="1">
      <alignment/>
      <protection locked="0"/>
    </xf>
    <xf numFmtId="193" fontId="0" fillId="0" borderId="0" xfId="0" applyNumberFormat="1" applyAlignment="1">
      <alignment/>
    </xf>
    <xf numFmtId="0" fontId="1" fillId="0" borderId="0" xfId="0" applyFont="1" applyFill="1" applyAlignment="1">
      <alignment/>
    </xf>
    <xf numFmtId="195" fontId="1" fillId="0" borderId="13" xfId="0" applyNumberFormat="1" applyFont="1" applyFill="1" applyBorder="1" applyAlignment="1" applyProtection="1">
      <alignment/>
      <protection locked="0"/>
    </xf>
    <xf numFmtId="195" fontId="0" fillId="0" borderId="0" xfId="0" applyNumberFormat="1" applyAlignment="1">
      <alignment horizontal="center"/>
    </xf>
    <xf numFmtId="189" fontId="16" fillId="3" borderId="30" xfId="17" applyNumberFormat="1" applyFont="1" applyFill="1" applyBorder="1" applyAlignment="1" applyProtection="1" quotePrefix="1">
      <alignment/>
      <protection locked="0"/>
    </xf>
    <xf numFmtId="0" fontId="4" fillId="9" borderId="0" xfId="0" applyFont="1" applyFill="1" applyAlignment="1">
      <alignment/>
    </xf>
    <xf numFmtId="189" fontId="4" fillId="0" borderId="0" xfId="17" applyNumberFormat="1" applyFont="1" applyAlignment="1">
      <alignment/>
    </xf>
    <xf numFmtId="0" fontId="4" fillId="10" borderId="0" xfId="0" applyFont="1" applyFill="1" applyAlignment="1">
      <alignment/>
    </xf>
    <xf numFmtId="0" fontId="4" fillId="0" borderId="0" xfId="0" applyFont="1" applyFill="1" applyAlignment="1">
      <alignment/>
    </xf>
    <xf numFmtId="195" fontId="4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18" fillId="0" borderId="0" xfId="0" applyFont="1" applyAlignment="1">
      <alignment/>
    </xf>
    <xf numFmtId="0" fontId="4" fillId="8" borderId="0" xfId="0" applyFont="1" applyFill="1" applyAlignment="1">
      <alignment horizontal="center"/>
    </xf>
    <xf numFmtId="189" fontId="4" fillId="0" borderId="0" xfId="0" applyNumberFormat="1" applyFont="1" applyAlignment="1">
      <alignment/>
    </xf>
    <xf numFmtId="194" fontId="4" fillId="8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10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 quotePrefix="1">
      <alignment horizontal="right"/>
    </xf>
    <xf numFmtId="2" fontId="1" fillId="7" borderId="0" xfId="0" applyNumberFormat="1" applyFont="1" applyFill="1" applyAlignment="1">
      <alignment/>
    </xf>
    <xf numFmtId="195" fontId="4" fillId="4" borderId="0" xfId="0" applyNumberFormat="1" applyFont="1" applyFill="1" applyAlignment="1">
      <alignment/>
    </xf>
    <xf numFmtId="2" fontId="4" fillId="7" borderId="0" xfId="0" applyNumberFormat="1" applyFont="1" applyFill="1" applyAlignment="1">
      <alignment/>
    </xf>
    <xf numFmtId="195" fontId="4" fillId="2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95" fontId="4" fillId="8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9" fillId="11" borderId="31" xfId="25" applyFont="1" applyFill="1" applyBorder="1" applyAlignment="1">
      <alignment horizontal="center"/>
      <protection/>
    </xf>
    <xf numFmtId="202" fontId="9" fillId="0" borderId="32" xfId="25" applyNumberFormat="1" applyFont="1" applyFill="1" applyBorder="1" applyAlignment="1">
      <alignment horizontal="right" wrapText="1"/>
      <protection/>
    </xf>
    <xf numFmtId="189" fontId="5" fillId="4" borderId="33" xfId="17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3" borderId="34" xfId="0" applyFont="1" applyFill="1" applyBorder="1" applyAlignment="1" applyProtection="1">
      <alignment horizontal="center"/>
      <protection/>
    </xf>
    <xf numFmtId="0" fontId="1" fillId="3" borderId="35" xfId="0" applyFont="1" applyFill="1" applyBorder="1" applyAlignment="1" applyProtection="1">
      <alignment/>
      <protection/>
    </xf>
    <xf numFmtId="0" fontId="1" fillId="3" borderId="35" xfId="0" applyFont="1" applyFill="1" applyBorder="1" applyAlignment="1" applyProtection="1">
      <alignment horizontal="center"/>
      <protection/>
    </xf>
    <xf numFmtId="195" fontId="16" fillId="3" borderId="36" xfId="0" applyNumberFormat="1" applyFont="1" applyFill="1" applyBorder="1" applyAlignment="1" applyProtection="1">
      <alignment/>
      <protection locked="0"/>
    </xf>
    <xf numFmtId="0" fontId="1" fillId="3" borderId="22" xfId="0" applyFont="1" applyFill="1" applyBorder="1" applyAlignment="1" applyProtection="1">
      <alignment horizontal="center"/>
      <protection/>
    </xf>
    <xf numFmtId="195" fontId="16" fillId="3" borderId="26" xfId="0" applyNumberFormat="1" applyFont="1" applyFill="1" applyBorder="1" applyAlignment="1" applyProtection="1">
      <alignment/>
      <protection locked="0"/>
    </xf>
    <xf numFmtId="195" fontId="16" fillId="3" borderId="26" xfId="19" applyNumberFormat="1" applyFont="1" applyFill="1" applyBorder="1" applyAlignment="1">
      <alignment/>
    </xf>
    <xf numFmtId="192" fontId="16" fillId="3" borderId="26" xfId="19" applyNumberFormat="1" applyFont="1" applyFill="1" applyBorder="1" applyAlignment="1">
      <alignment/>
    </xf>
    <xf numFmtId="0" fontId="16" fillId="3" borderId="26" xfId="0" applyFont="1" applyFill="1" applyBorder="1" applyAlignment="1" applyProtection="1">
      <alignment/>
      <protection locked="0"/>
    </xf>
    <xf numFmtId="195" fontId="20" fillId="3" borderId="26" xfId="0" applyNumberFormat="1" applyFont="1" applyFill="1" applyBorder="1" applyAlignment="1" applyProtection="1">
      <alignment/>
      <protection locked="0"/>
    </xf>
    <xf numFmtId="195" fontId="16" fillId="0" borderId="26" xfId="0" applyNumberFormat="1" applyFont="1" applyBorder="1" applyAlignment="1" applyProtection="1">
      <alignment/>
      <protection locked="0"/>
    </xf>
    <xf numFmtId="195" fontId="20" fillId="3" borderId="26" xfId="19" applyNumberFormat="1" applyFont="1" applyFill="1" applyBorder="1" applyAlignment="1">
      <alignment/>
    </xf>
    <xf numFmtId="188" fontId="1" fillId="3" borderId="22" xfId="0" applyNumberFormat="1" applyFont="1" applyFill="1" applyBorder="1" applyAlignment="1" applyProtection="1">
      <alignment horizontal="center"/>
      <protection/>
    </xf>
    <xf numFmtId="195" fontId="16" fillId="0" borderId="26" xfId="0" applyNumberFormat="1" applyFont="1" applyFill="1" applyBorder="1" applyAlignment="1" applyProtection="1">
      <alignment/>
      <protection locked="0"/>
    </xf>
    <xf numFmtId="0" fontId="16" fillId="0" borderId="26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/>
      <protection/>
    </xf>
    <xf numFmtId="189" fontId="16" fillId="3" borderId="26" xfId="17" applyNumberFormat="1" applyFont="1" applyFill="1" applyBorder="1" applyAlignment="1" applyProtection="1">
      <alignment/>
      <protection/>
    </xf>
    <xf numFmtId="189" fontId="16" fillId="3" borderId="26" xfId="17" applyNumberFormat="1" applyFont="1" applyFill="1" applyBorder="1" applyAlignment="1" applyProtection="1">
      <alignment/>
      <protection locked="0"/>
    </xf>
    <xf numFmtId="189" fontId="25" fillId="3" borderId="26" xfId="17" applyNumberFormat="1" applyFont="1" applyFill="1" applyBorder="1" applyAlignment="1" applyProtection="1" quotePrefix="1">
      <alignment/>
      <protection locked="0"/>
    </xf>
    <xf numFmtId="189" fontId="16" fillId="3" borderId="26" xfId="17" applyNumberFormat="1" applyFont="1" applyFill="1" applyBorder="1" applyAlignment="1" applyProtection="1" quotePrefix="1">
      <alignment/>
      <protection locked="0"/>
    </xf>
    <xf numFmtId="192" fontId="25" fillId="2" borderId="26" xfId="19" applyNumberFormat="1" applyFont="1" applyFill="1" applyBorder="1" applyAlignment="1">
      <alignment/>
    </xf>
    <xf numFmtId="189" fontId="16" fillId="2" borderId="26" xfId="17" applyNumberFormat="1" applyFont="1" applyFill="1" applyBorder="1" applyAlignment="1" applyProtection="1">
      <alignment/>
      <protection/>
    </xf>
    <xf numFmtId="192" fontId="16" fillId="2" borderId="26" xfId="19" applyNumberFormat="1" applyFont="1" applyFill="1" applyBorder="1" applyAlignment="1" applyProtection="1">
      <alignment/>
      <protection/>
    </xf>
    <xf numFmtId="189" fontId="25" fillId="2" borderId="26" xfId="17" applyNumberFormat="1" applyFont="1" applyFill="1" applyBorder="1" applyAlignment="1" applyProtection="1" quotePrefix="1">
      <alignment/>
      <protection locked="0"/>
    </xf>
    <xf numFmtId="189" fontId="25" fillId="2" borderId="26" xfId="17" applyNumberFormat="1" applyFont="1" applyFill="1" applyBorder="1" applyAlignment="1" applyProtection="1">
      <alignment/>
      <protection locked="0"/>
    </xf>
    <xf numFmtId="0" fontId="16" fillId="0" borderId="26" xfId="0" applyFont="1" applyBorder="1" applyAlignment="1">
      <alignment/>
    </xf>
    <xf numFmtId="189" fontId="16" fillId="0" borderId="26" xfId="17" applyNumberFormat="1" applyFont="1" applyFill="1" applyBorder="1" applyAlignment="1" applyProtection="1">
      <alignment/>
      <protection locked="0"/>
    </xf>
    <xf numFmtId="0" fontId="16" fillId="3" borderId="22" xfId="0" applyFont="1" applyFill="1" applyBorder="1" applyAlignment="1" applyProtection="1">
      <alignment horizontal="center"/>
      <protection/>
    </xf>
    <xf numFmtId="200" fontId="16" fillId="3" borderId="26" xfId="20" applyNumberFormat="1" applyFont="1" applyFill="1" applyBorder="1" applyAlignment="1" applyProtection="1">
      <alignment/>
      <protection locked="0"/>
    </xf>
    <xf numFmtId="192" fontId="16" fillId="2" borderId="26" xfId="19" applyNumberFormat="1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201" fontId="22" fillId="0" borderId="26" xfId="19" applyNumberFormat="1" applyFont="1" applyBorder="1" applyAlignment="1">
      <alignment/>
    </xf>
    <xf numFmtId="192" fontId="16" fillId="0" borderId="26" xfId="19" applyNumberFormat="1" applyFont="1" applyFill="1" applyBorder="1" applyAlignment="1">
      <alignment/>
    </xf>
    <xf numFmtId="189" fontId="16" fillId="0" borderId="26" xfId="17" applyNumberFormat="1" applyFont="1" applyBorder="1" applyAlignment="1" applyProtection="1">
      <alignment/>
      <protection locked="0"/>
    </xf>
    <xf numFmtId="189" fontId="16" fillId="3" borderId="37" xfId="17" applyNumberFormat="1" applyFont="1" applyFill="1" applyBorder="1" applyAlignment="1" applyProtection="1">
      <alignment/>
      <protection locked="0"/>
    </xf>
    <xf numFmtId="203" fontId="5" fillId="0" borderId="0" xfId="17" applyNumberFormat="1" applyFont="1" applyAlignment="1" applyProtection="1">
      <alignment horizontal="left"/>
      <protection/>
    </xf>
    <xf numFmtId="203" fontId="4" fillId="8" borderId="0" xfId="17" applyNumberFormat="1" applyFont="1" applyFill="1" applyBorder="1" applyAlignment="1">
      <alignment/>
    </xf>
    <xf numFmtId="203" fontId="4" fillId="0" borderId="0" xfId="17" applyNumberFormat="1" applyFont="1" applyAlignment="1">
      <alignment/>
    </xf>
    <xf numFmtId="204" fontId="1" fillId="0" borderId="0" xfId="17" applyNumberFormat="1" applyFont="1" applyAlignment="1">
      <alignment/>
    </xf>
    <xf numFmtId="204" fontId="5" fillId="4" borderId="38" xfId="17" applyNumberFormat="1" applyFont="1" applyFill="1" applyBorder="1" applyAlignment="1">
      <alignment horizontal="center" vertical="center"/>
    </xf>
    <xf numFmtId="204" fontId="16" fillId="0" borderId="35" xfId="0" applyNumberFormat="1" applyFont="1" applyFill="1" applyBorder="1" applyAlignment="1" applyProtection="1">
      <alignment/>
      <protection locked="0"/>
    </xf>
    <xf numFmtId="204" fontId="16" fillId="0" borderId="18" xfId="0" applyNumberFormat="1" applyFont="1" applyFill="1" applyBorder="1" applyAlignment="1" applyProtection="1">
      <alignment/>
      <protection locked="0"/>
    </xf>
    <xf numFmtId="204" fontId="16" fillId="3" borderId="18" xfId="0" applyNumberFormat="1" applyFont="1" applyFill="1" applyBorder="1" applyAlignment="1" applyProtection="1">
      <alignment/>
      <protection locked="0"/>
    </xf>
    <xf numFmtId="204" fontId="16" fillId="0" borderId="18" xfId="0" applyNumberFormat="1" applyFont="1" applyBorder="1" applyAlignment="1" applyProtection="1">
      <alignment/>
      <protection locked="0"/>
    </xf>
    <xf numFmtId="204" fontId="16" fillId="0" borderId="18" xfId="0" applyNumberFormat="1" applyFont="1" applyFill="1" applyBorder="1" applyAlignment="1" applyProtection="1">
      <alignment horizontal="right"/>
      <protection locked="0"/>
    </xf>
    <xf numFmtId="204" fontId="16" fillId="0" borderId="18" xfId="0" applyNumberFormat="1" applyFont="1" applyFill="1" applyBorder="1" applyAlignment="1">
      <alignment vertical="center"/>
    </xf>
    <xf numFmtId="204" fontId="16" fillId="3" borderId="18" xfId="0" applyNumberFormat="1" applyFont="1" applyFill="1" applyBorder="1" applyAlignment="1" applyProtection="1">
      <alignment/>
      <protection/>
    </xf>
    <xf numFmtId="204" fontId="16" fillId="3" borderId="18" xfId="17" applyNumberFormat="1" applyFont="1" applyFill="1" applyBorder="1" applyAlignment="1" applyProtection="1">
      <alignment/>
      <protection/>
    </xf>
    <xf numFmtId="204" fontId="16" fillId="3" borderId="18" xfId="17" applyNumberFormat="1" applyFont="1" applyFill="1" applyBorder="1" applyAlignment="1" applyProtection="1">
      <alignment/>
      <protection locked="0"/>
    </xf>
    <xf numFmtId="204" fontId="18" fillId="3" borderId="18" xfId="17" applyNumberFormat="1" applyFont="1" applyFill="1" applyBorder="1" applyAlignment="1" applyProtection="1">
      <alignment/>
      <protection/>
    </xf>
    <xf numFmtId="204" fontId="16" fillId="12" borderId="18" xfId="17" applyNumberFormat="1" applyFont="1" applyFill="1" applyBorder="1" applyAlignment="1" applyProtection="1">
      <alignment/>
      <protection locked="0"/>
    </xf>
    <xf numFmtId="204" fontId="16" fillId="0" borderId="18" xfId="17" applyNumberFormat="1" applyFont="1" applyFill="1" applyBorder="1" applyAlignment="1" applyProtection="1">
      <alignment/>
      <protection locked="0"/>
    </xf>
    <xf numFmtId="204" fontId="18" fillId="0" borderId="18" xfId="0" applyNumberFormat="1" applyFont="1" applyBorder="1" applyAlignment="1">
      <alignment/>
    </xf>
    <xf numFmtId="204" fontId="9" fillId="0" borderId="18" xfId="25" applyNumberFormat="1" applyFont="1" applyFill="1" applyBorder="1" applyAlignment="1">
      <alignment horizontal="center"/>
      <protection/>
    </xf>
    <xf numFmtId="204" fontId="4" fillId="0" borderId="18" xfId="0" applyNumberFormat="1" applyFont="1" applyBorder="1" applyAlignment="1">
      <alignment/>
    </xf>
    <xf numFmtId="204" fontId="16" fillId="3" borderId="39" xfId="17" applyNumberFormat="1" applyFont="1" applyFill="1" applyBorder="1" applyAlignment="1" applyProtection="1">
      <alignment/>
      <protection locked="0"/>
    </xf>
    <xf numFmtId="204" fontId="4" fillId="0" borderId="0" xfId="17" applyNumberFormat="1" applyFont="1" applyAlignment="1">
      <alignment/>
    </xf>
    <xf numFmtId="189" fontId="20" fillId="0" borderId="18" xfId="0" applyNumberFormat="1" applyFont="1" applyFill="1" applyBorder="1" applyAlignment="1">
      <alignment vertical="center"/>
    </xf>
    <xf numFmtId="189" fontId="25" fillId="0" borderId="18" xfId="0" applyNumberFormat="1" applyFont="1" applyFill="1" applyBorder="1" applyAlignment="1">
      <alignment vertical="center"/>
    </xf>
    <xf numFmtId="189" fontId="16" fillId="0" borderId="18" xfId="0" applyNumberFormat="1" applyFont="1" applyFill="1" applyBorder="1" applyAlignment="1">
      <alignment vertical="center"/>
    </xf>
    <xf numFmtId="203" fontId="4" fillId="0" borderId="0" xfId="17" applyNumberFormat="1" applyFont="1" applyBorder="1" applyAlignment="1">
      <alignment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" fillId="10" borderId="18" xfId="0" applyFont="1" applyFill="1" applyBorder="1" applyAlignment="1" applyProtection="1">
      <alignment vertical="center"/>
      <protection/>
    </xf>
    <xf numFmtId="203" fontId="20" fillId="0" borderId="40" xfId="0" applyNumberFormat="1" applyFont="1" applyFill="1" applyBorder="1" applyAlignment="1" applyProtection="1">
      <alignment/>
      <protection locked="0"/>
    </xf>
    <xf numFmtId="203" fontId="20" fillId="0" borderId="41" xfId="0" applyNumberFormat="1" applyFont="1" applyFill="1" applyBorder="1" applyAlignment="1" applyProtection="1">
      <alignment/>
      <protection locked="0"/>
    </xf>
    <xf numFmtId="203" fontId="16" fillId="0" borderId="41" xfId="0" applyNumberFormat="1" applyFont="1" applyFill="1" applyBorder="1" applyAlignment="1" applyProtection="1">
      <alignment/>
      <protection locked="0"/>
    </xf>
    <xf numFmtId="203" fontId="16" fillId="9" borderId="41" xfId="19" applyNumberFormat="1" applyFont="1" applyFill="1" applyBorder="1" applyAlignment="1">
      <alignment/>
    </xf>
    <xf numFmtId="203" fontId="20" fillId="3" borderId="41" xfId="0" applyNumberFormat="1" applyFont="1" applyFill="1" applyBorder="1" applyAlignment="1" applyProtection="1">
      <alignment/>
      <protection locked="0"/>
    </xf>
    <xf numFmtId="203" fontId="16" fillId="3" borderId="41" xfId="0" applyNumberFormat="1" applyFont="1" applyFill="1" applyBorder="1" applyAlignment="1" applyProtection="1">
      <alignment/>
      <protection locked="0"/>
    </xf>
    <xf numFmtId="203" fontId="21" fillId="0" borderId="41" xfId="19" applyNumberFormat="1" applyFont="1" applyFill="1" applyBorder="1" applyAlignment="1">
      <alignment horizontal="right"/>
    </xf>
    <xf numFmtId="203" fontId="20" fillId="0" borderId="41" xfId="17" applyNumberFormat="1" applyFont="1" applyBorder="1" applyAlignment="1">
      <alignment/>
    </xf>
    <xf numFmtId="203" fontId="20" fillId="0" borderId="41" xfId="0" applyNumberFormat="1" applyFont="1" applyBorder="1" applyAlignment="1" applyProtection="1">
      <alignment horizontal="right"/>
      <protection locked="0"/>
    </xf>
    <xf numFmtId="203" fontId="20" fillId="0" borderId="41" xfId="0" applyNumberFormat="1" applyFont="1" applyBorder="1" applyAlignment="1" applyProtection="1">
      <alignment/>
      <protection locked="0"/>
    </xf>
    <xf numFmtId="203" fontId="16" fillId="0" borderId="41" xfId="0" applyNumberFormat="1" applyFont="1" applyBorder="1" applyAlignment="1" applyProtection="1">
      <alignment/>
      <protection locked="0"/>
    </xf>
    <xf numFmtId="203" fontId="25" fillId="0" borderId="41" xfId="0" applyNumberFormat="1" applyFont="1" applyBorder="1" applyAlignment="1" applyProtection="1">
      <alignment/>
      <protection locked="0"/>
    </xf>
    <xf numFmtId="203" fontId="25" fillId="0" borderId="41" xfId="0" applyNumberFormat="1" applyFont="1" applyFill="1" applyBorder="1" applyAlignment="1" applyProtection="1">
      <alignment/>
      <protection locked="0"/>
    </xf>
    <xf numFmtId="203" fontId="25" fillId="0" borderId="41" xfId="17" applyNumberFormat="1" applyFont="1" applyFill="1" applyBorder="1" applyAlignment="1" applyProtection="1">
      <alignment/>
      <protection locked="0"/>
    </xf>
    <xf numFmtId="203" fontId="16" fillId="7" borderId="41" xfId="17" applyNumberFormat="1" applyFont="1" applyFill="1" applyBorder="1" applyAlignment="1" applyProtection="1">
      <alignment/>
      <protection/>
    </xf>
    <xf numFmtId="203" fontId="16" fillId="3" borderId="41" xfId="17" applyNumberFormat="1" applyFont="1" applyFill="1" applyBorder="1" applyAlignment="1" applyProtection="1">
      <alignment/>
      <protection locked="0"/>
    </xf>
    <xf numFmtId="203" fontId="18" fillId="12" borderId="41" xfId="17" applyNumberFormat="1" applyFont="1" applyFill="1" applyBorder="1" applyAlignment="1">
      <alignment/>
    </xf>
    <xf numFmtId="203" fontId="25" fillId="8" borderId="41" xfId="17" applyNumberFormat="1" applyFont="1" applyFill="1" applyBorder="1" applyAlignment="1" applyProtection="1">
      <alignment/>
      <protection locked="0"/>
    </xf>
    <xf numFmtId="203" fontId="16" fillId="0" borderId="41" xfId="17" applyNumberFormat="1" applyFont="1" applyFill="1" applyBorder="1" applyAlignment="1" applyProtection="1">
      <alignment/>
      <protection locked="0"/>
    </xf>
    <xf numFmtId="203" fontId="25" fillId="8" borderId="41" xfId="0" applyNumberFormat="1" applyFont="1" applyFill="1" applyBorder="1" applyAlignment="1">
      <alignment/>
    </xf>
    <xf numFmtId="203" fontId="25" fillId="8" borderId="41" xfId="17" applyNumberFormat="1" applyFont="1" applyFill="1" applyBorder="1" applyAlignment="1" applyProtection="1">
      <alignment/>
      <protection/>
    </xf>
    <xf numFmtId="203" fontId="25" fillId="8" borderId="41" xfId="28" applyNumberFormat="1" applyFont="1" applyFill="1" applyBorder="1" applyAlignment="1" applyProtection="1">
      <alignment/>
      <protection locked="0"/>
    </xf>
    <xf numFmtId="203" fontId="20" fillId="0" borderId="41" xfId="17" applyNumberFormat="1" applyFont="1" applyFill="1" applyBorder="1" applyAlignment="1" applyProtection="1">
      <alignment/>
      <protection locked="0"/>
    </xf>
    <xf numFmtId="203" fontId="25" fillId="2" borderId="41" xfId="17" applyNumberFormat="1" applyFont="1" applyFill="1" applyBorder="1" applyAlignment="1" applyProtection="1">
      <alignment/>
      <protection locked="0"/>
    </xf>
    <xf numFmtId="203" fontId="25" fillId="0" borderId="41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3" fontId="25" fillId="3" borderId="41" xfId="17" applyNumberFormat="1" applyFont="1" applyFill="1" applyBorder="1" applyAlignment="1" applyProtection="1">
      <alignment/>
      <protection locked="0"/>
    </xf>
    <xf numFmtId="203" fontId="26" fillId="0" borderId="41" xfId="19" applyNumberFormat="1" applyFont="1" applyFill="1" applyBorder="1" applyAlignment="1">
      <alignment/>
    </xf>
    <xf numFmtId="203" fontId="4" fillId="0" borderId="41" xfId="17" applyNumberFormat="1" applyFont="1" applyBorder="1" applyAlignment="1">
      <alignment/>
    </xf>
    <xf numFmtId="203" fontId="25" fillId="7" borderId="41" xfId="17" applyNumberFormat="1" applyFont="1" applyFill="1" applyBorder="1" applyAlignment="1" applyProtection="1">
      <alignment/>
      <protection/>
    </xf>
    <xf numFmtId="203" fontId="25" fillId="7" borderId="41" xfId="17" applyNumberFormat="1" applyFont="1" applyFill="1" applyBorder="1" applyAlignment="1" applyProtection="1">
      <alignment/>
      <protection locked="0"/>
    </xf>
    <xf numFmtId="203" fontId="25" fillId="0" borderId="41" xfId="17" applyNumberFormat="1" applyFont="1" applyBorder="1" applyAlignment="1" applyProtection="1">
      <alignment/>
      <protection locked="0"/>
    </xf>
    <xf numFmtId="203" fontId="25" fillId="13" borderId="41" xfId="17" applyNumberFormat="1" applyFont="1" applyFill="1" applyBorder="1" applyAlignment="1" applyProtection="1">
      <alignment/>
      <protection locked="0"/>
    </xf>
    <xf numFmtId="203" fontId="23" fillId="0" borderId="41" xfId="0" applyNumberFormat="1" applyFont="1" applyFill="1" applyBorder="1" applyAlignment="1">
      <alignment horizontal="right" vertical="center"/>
    </xf>
    <xf numFmtId="203" fontId="16" fillId="0" borderId="41" xfId="19" applyNumberFormat="1" applyFont="1" applyFill="1" applyBorder="1" applyAlignment="1">
      <alignment vertical="center"/>
    </xf>
    <xf numFmtId="203" fontId="25" fillId="0" borderId="42" xfId="17" applyNumberFormat="1" applyFont="1" applyFill="1" applyBorder="1" applyAlignment="1" applyProtection="1">
      <alignment/>
      <protection locked="0"/>
    </xf>
    <xf numFmtId="203" fontId="5" fillId="4" borderId="43" xfId="17" applyNumberFormat="1" applyFont="1" applyFill="1" applyBorder="1" applyAlignment="1" applyProtection="1">
      <alignment horizontal="center" vertical="center"/>
      <protection/>
    </xf>
    <xf numFmtId="192" fontId="5" fillId="4" borderId="44" xfId="19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 applyProtection="1">
      <alignment horizontal="center" vertical="center"/>
      <protection/>
    </xf>
    <xf numFmtId="0" fontId="5" fillId="4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19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3" fontId="9" fillId="0" borderId="46" xfId="25" applyNumberFormat="1" applyFont="1" applyFill="1" applyBorder="1" applyAlignment="1">
      <alignment horizontal="right" wrapText="1"/>
      <protection/>
    </xf>
    <xf numFmtId="192" fontId="5" fillId="4" borderId="47" xfId="19" applyNumberFormat="1" applyFont="1" applyFill="1" applyBorder="1" applyAlignment="1">
      <alignment horizontal="center" vertical="center"/>
    </xf>
    <xf numFmtId="186" fontId="4" fillId="10" borderId="18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189" fontId="1" fillId="0" borderId="0" xfId="17" applyNumberFormat="1" applyFont="1" applyFill="1" applyAlignment="1">
      <alignment/>
    </xf>
    <xf numFmtId="0" fontId="10" fillId="0" borderId="18" xfId="0" applyFont="1" applyFill="1" applyBorder="1" applyAlignment="1" applyProtection="1">
      <alignment vertical="center"/>
      <protection/>
    </xf>
    <xf numFmtId="0" fontId="27" fillId="0" borderId="34" xfId="21" applyFont="1" applyFill="1" applyBorder="1" applyAlignment="1">
      <alignment horizontal="left" wrapText="1"/>
      <protection/>
    </xf>
    <xf numFmtId="0" fontId="27" fillId="0" borderId="35" xfId="21" applyFont="1" applyFill="1" applyBorder="1" applyAlignment="1">
      <alignment horizontal="left" wrapText="1"/>
      <protection/>
    </xf>
    <xf numFmtId="0" fontId="27" fillId="0" borderId="22" xfId="21" applyFont="1" applyFill="1" applyBorder="1" applyAlignment="1">
      <alignment horizontal="left" wrapText="1"/>
      <protection/>
    </xf>
    <xf numFmtId="0" fontId="27" fillId="0" borderId="18" xfId="21" applyFont="1" applyFill="1" applyBorder="1" applyAlignment="1">
      <alignment horizontal="left" wrapText="1"/>
      <protection/>
    </xf>
    <xf numFmtId="0" fontId="27" fillId="0" borderId="18" xfId="21" applyFont="1" applyFill="1" applyBorder="1" applyAlignment="1">
      <alignment horizontal="left" wrapText="1"/>
      <protection/>
    </xf>
    <xf numFmtId="0" fontId="27" fillId="0" borderId="18" xfId="23" applyFont="1" applyFill="1" applyBorder="1" applyAlignment="1">
      <alignment horizontal="left" wrapText="1"/>
      <protection/>
    </xf>
    <xf numFmtId="0" fontId="27" fillId="0" borderId="48" xfId="21" applyFont="1" applyFill="1" applyBorder="1" applyAlignment="1">
      <alignment horizontal="left" wrapText="1"/>
      <protection/>
    </xf>
    <xf numFmtId="0" fontId="27" fillId="0" borderId="39" xfId="21" applyFont="1" applyFill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203" fontId="5" fillId="0" borderId="0" xfId="17" applyNumberFormat="1" applyFont="1" applyAlignment="1">
      <alignment/>
    </xf>
    <xf numFmtId="204" fontId="5" fillId="0" borderId="0" xfId="17" applyNumberFormat="1" applyFont="1" applyAlignment="1">
      <alignment/>
    </xf>
    <xf numFmtId="189" fontId="5" fillId="0" borderId="0" xfId="17" applyNumberFormat="1" applyFont="1" applyAlignment="1">
      <alignment/>
    </xf>
    <xf numFmtId="0" fontId="10" fillId="3" borderId="22" xfId="0" applyFont="1" applyFill="1" applyBorder="1" applyAlignment="1" applyProtection="1">
      <alignment horizontal="center"/>
      <protection/>
    </xf>
    <xf numFmtId="0" fontId="27" fillId="0" borderId="35" xfId="21" applyFont="1" applyFill="1" applyBorder="1" applyAlignment="1">
      <alignment horizontal="left" wrapText="1"/>
      <protection/>
    </xf>
    <xf numFmtId="2" fontId="28" fillId="0" borderId="0" xfId="22" applyNumberFormat="1" applyFont="1">
      <alignment/>
      <protection/>
    </xf>
    <xf numFmtId="0" fontId="28" fillId="0" borderId="0" xfId="22" applyFont="1">
      <alignment/>
      <protection/>
    </xf>
    <xf numFmtId="0" fontId="2" fillId="14" borderId="49" xfId="22" applyFont="1" applyFill="1" applyBorder="1" applyAlignment="1">
      <alignment horizontal="center" vertical="center" wrapText="1"/>
      <protection/>
    </xf>
    <xf numFmtId="0" fontId="2" fillId="5" borderId="50" xfId="22" applyFont="1" applyFill="1" applyBorder="1" applyAlignment="1">
      <alignment vertical="center"/>
      <protection/>
    </xf>
    <xf numFmtId="171" fontId="2" fillId="5" borderId="51" xfId="17" applyFont="1" applyFill="1" applyBorder="1" applyAlignment="1">
      <alignment vertical="center"/>
    </xf>
    <xf numFmtId="171" fontId="2" fillId="5" borderId="50" xfId="17" applyFont="1" applyFill="1" applyBorder="1" applyAlignment="1">
      <alignment vertical="center"/>
    </xf>
    <xf numFmtId="10" fontId="2" fillId="5" borderId="50" xfId="28" applyNumberFormat="1" applyFont="1" applyFill="1" applyBorder="1" applyAlignment="1">
      <alignment vertical="center"/>
    </xf>
    <xf numFmtId="171" fontId="2" fillId="15" borderId="50" xfId="17" applyFont="1" applyFill="1" applyBorder="1" applyAlignment="1">
      <alignment vertical="center"/>
    </xf>
    <xf numFmtId="189" fontId="2" fillId="14" borderId="50" xfId="17" applyNumberFormat="1" applyFont="1" applyFill="1" applyBorder="1" applyAlignment="1">
      <alignment vertical="center"/>
    </xf>
    <xf numFmtId="189" fontId="2" fillId="5" borderId="50" xfId="17" applyNumberFormat="1" applyFont="1" applyFill="1" applyBorder="1" applyAlignment="1">
      <alignment vertical="center"/>
    </xf>
    <xf numFmtId="189" fontId="2" fillId="0" borderId="50" xfId="17" applyNumberFormat="1" applyFont="1" applyBorder="1" applyAlignment="1">
      <alignment vertical="center"/>
    </xf>
    <xf numFmtId="171" fontId="2" fillId="7" borderId="52" xfId="17" applyFont="1" applyFill="1" applyBorder="1" applyAlignment="1">
      <alignment vertical="center"/>
    </xf>
    <xf numFmtId="0" fontId="2" fillId="14" borderId="53" xfId="22" applyFont="1" applyFill="1" applyBorder="1" applyAlignment="1">
      <alignment horizontal="center" vertical="center" wrapText="1"/>
      <protection/>
    </xf>
    <xf numFmtId="0" fontId="2" fillId="5" borderId="54" xfId="22" applyFont="1" applyFill="1" applyBorder="1" applyAlignment="1">
      <alignment vertical="center"/>
      <protection/>
    </xf>
    <xf numFmtId="171" fontId="2" fillId="5" borderId="55" xfId="17" applyFont="1" applyFill="1" applyBorder="1" applyAlignment="1">
      <alignment vertical="center"/>
    </xf>
    <xf numFmtId="171" fontId="2" fillId="5" borderId="54" xfId="17" applyFont="1" applyFill="1" applyBorder="1" applyAlignment="1">
      <alignment vertical="center"/>
    </xf>
    <xf numFmtId="10" fontId="2" fillId="5" borderId="54" xfId="28" applyNumberFormat="1" applyFont="1" applyFill="1" applyBorder="1" applyAlignment="1">
      <alignment vertical="center"/>
    </xf>
    <xf numFmtId="171" fontId="2" fillId="15" borderId="54" xfId="17" applyFont="1" applyFill="1" applyBorder="1" applyAlignment="1">
      <alignment vertical="center"/>
    </xf>
    <xf numFmtId="189" fontId="2" fillId="14" borderId="54" xfId="17" applyNumberFormat="1" applyFont="1" applyFill="1" applyBorder="1" applyAlignment="1">
      <alignment vertical="center"/>
    </xf>
    <xf numFmtId="189" fontId="2" fillId="5" borderId="54" xfId="17" applyNumberFormat="1" applyFont="1" applyFill="1" applyBorder="1" applyAlignment="1">
      <alignment vertical="center"/>
    </xf>
    <xf numFmtId="189" fontId="2" fillId="0" borderId="54" xfId="17" applyNumberFormat="1" applyFont="1" applyBorder="1" applyAlignment="1">
      <alignment vertical="center"/>
    </xf>
    <xf numFmtId="171" fontId="2" fillId="7" borderId="56" xfId="17" applyFont="1" applyFill="1" applyBorder="1" applyAlignment="1">
      <alignment vertical="center"/>
    </xf>
    <xf numFmtId="0" fontId="1" fillId="4" borderId="22" xfId="0" applyFont="1" applyFill="1" applyBorder="1" applyAlignment="1" applyProtection="1">
      <alignment horizontal="center"/>
      <protection/>
    </xf>
    <xf numFmtId="0" fontId="27" fillId="16" borderId="34" xfId="21" applyFont="1" applyFill="1" applyBorder="1" applyAlignment="1">
      <alignment horizontal="left" wrapText="1"/>
      <protection/>
    </xf>
    <xf numFmtId="0" fontId="27" fillId="16" borderId="22" xfId="21" applyFont="1" applyFill="1" applyBorder="1" applyAlignment="1">
      <alignment horizontal="left" wrapText="1"/>
      <protection/>
    </xf>
    <xf numFmtId="0" fontId="27" fillId="16" borderId="22" xfId="23" applyFont="1" applyFill="1" applyBorder="1" applyAlignment="1">
      <alignment horizontal="left" wrapText="1"/>
      <protection/>
    </xf>
    <xf numFmtId="0" fontId="27" fillId="16" borderId="48" xfId="21" applyFont="1" applyFill="1" applyBorder="1" applyAlignment="1">
      <alignment horizontal="left" wrapText="1"/>
      <protection/>
    </xf>
    <xf numFmtId="0" fontId="9" fillId="0" borderId="32" xfId="26" applyFont="1" applyFill="1" applyBorder="1" applyAlignment="1">
      <alignment horizontal="left" wrapText="1"/>
      <protection/>
    </xf>
    <xf numFmtId="0" fontId="9" fillId="0" borderId="0" xfId="26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9" fillId="0" borderId="0" xfId="26" applyFont="1" applyFill="1" applyBorder="1" applyAlignment="1">
      <alignment wrapText="1"/>
      <protection/>
    </xf>
    <xf numFmtId="0" fontId="9" fillId="0" borderId="0" xfId="26" applyFont="1" applyFill="1" applyBorder="1" applyAlignment="1">
      <alignment horizontal="left" wrapText="1"/>
      <protection/>
    </xf>
    <xf numFmtId="0" fontId="2" fillId="0" borderId="54" xfId="22" applyFont="1" applyFill="1" applyBorder="1" applyAlignment="1">
      <alignment vertical="center"/>
      <protection/>
    </xf>
    <xf numFmtId="0" fontId="9" fillId="0" borderId="18" xfId="23" applyFont="1" applyFill="1" applyBorder="1" applyAlignment="1">
      <alignment wrapText="1"/>
      <protection/>
    </xf>
    <xf numFmtId="0" fontId="27" fillId="0" borderId="23" xfId="21" applyFont="1" applyFill="1" applyBorder="1" applyAlignment="1">
      <alignment horizontal="left" wrapText="1"/>
      <protection/>
    </xf>
    <xf numFmtId="0" fontId="9" fillId="0" borderId="23" xfId="2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>
      <alignment horizontal="center"/>
    </xf>
    <xf numFmtId="0" fontId="0" fillId="2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188" fontId="1" fillId="10" borderId="0" xfId="0" applyNumberFormat="1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/>
      <protection/>
    </xf>
    <xf numFmtId="189" fontId="1" fillId="10" borderId="0" xfId="17" applyNumberFormat="1" applyFont="1" applyFill="1" applyAlignment="1" applyProtection="1">
      <alignment/>
      <protection/>
    </xf>
    <xf numFmtId="196" fontId="1" fillId="10" borderId="0" xfId="17" applyNumberFormat="1" applyFont="1" applyFill="1" applyAlignment="1" applyProtection="1">
      <alignment/>
      <protection/>
    </xf>
    <xf numFmtId="0" fontId="9" fillId="0" borderId="32" xfId="27" applyFont="1" applyFill="1" applyBorder="1" applyAlignment="1">
      <alignment wrapText="1"/>
      <protection/>
    </xf>
    <xf numFmtId="0" fontId="9" fillId="0" borderId="18" xfId="27" applyFont="1" applyFill="1" applyBorder="1" applyAlignment="1">
      <alignment wrapText="1"/>
      <protection/>
    </xf>
    <xf numFmtId="0" fontId="9" fillId="0" borderId="18" xfId="27" applyFont="1" applyFill="1" applyBorder="1" applyAlignment="1">
      <alignment horizontal="center" wrapText="1"/>
      <protection/>
    </xf>
    <xf numFmtId="0" fontId="27" fillId="0" borderId="35" xfId="21" applyFont="1" applyFill="1" applyBorder="1" applyAlignment="1">
      <alignment horizontal="center" wrapText="1"/>
      <protection/>
    </xf>
    <xf numFmtId="0" fontId="27" fillId="0" borderId="18" xfId="21" applyFont="1" applyFill="1" applyBorder="1" applyAlignment="1">
      <alignment horizontal="center" wrapText="1"/>
      <protection/>
    </xf>
    <xf numFmtId="0" fontId="27" fillId="0" borderId="18" xfId="23" applyFont="1" applyFill="1" applyBorder="1" applyAlignment="1">
      <alignment horizontal="center" wrapText="1"/>
      <protection/>
    </xf>
    <xf numFmtId="0" fontId="27" fillId="0" borderId="39" xfId="21" applyFont="1" applyFill="1" applyBorder="1" applyAlignment="1">
      <alignment horizontal="center" wrapText="1"/>
      <protection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9" fillId="0" borderId="23" xfId="23" applyFont="1" applyFill="1" applyBorder="1" applyAlignment="1">
      <alignment horizontal="center" wrapText="1"/>
      <protection/>
    </xf>
    <xf numFmtId="0" fontId="9" fillId="0" borderId="18" xfId="23" applyFont="1" applyFill="1" applyBorder="1" applyAlignment="1">
      <alignment horizontal="center" wrapText="1"/>
      <protection/>
    </xf>
    <xf numFmtId="0" fontId="2" fillId="14" borderId="57" xfId="22" applyFont="1" applyFill="1" applyBorder="1" applyAlignment="1">
      <alignment horizontal="center" vertical="center" wrapText="1"/>
      <protection/>
    </xf>
    <xf numFmtId="0" fontId="2" fillId="5" borderId="58" xfId="22" applyFont="1" applyFill="1" applyBorder="1" applyAlignment="1">
      <alignment vertical="center"/>
      <protection/>
    </xf>
    <xf numFmtId="171" fontId="2" fillId="5" borderId="59" xfId="17" applyFont="1" applyFill="1" applyBorder="1" applyAlignment="1">
      <alignment vertical="center"/>
    </xf>
    <xf numFmtId="171" fontId="2" fillId="5" borderId="58" xfId="17" applyFont="1" applyFill="1" applyBorder="1" applyAlignment="1">
      <alignment vertical="center"/>
    </xf>
    <xf numFmtId="10" fontId="2" fillId="5" borderId="58" xfId="28" applyNumberFormat="1" applyFont="1" applyFill="1" applyBorder="1" applyAlignment="1">
      <alignment vertical="center"/>
    </xf>
    <xf numFmtId="171" fontId="2" fillId="15" borderId="58" xfId="17" applyFont="1" applyFill="1" applyBorder="1" applyAlignment="1">
      <alignment vertical="center"/>
    </xf>
    <xf numFmtId="189" fontId="2" fillId="14" borderId="58" xfId="17" applyNumberFormat="1" applyFont="1" applyFill="1" applyBorder="1" applyAlignment="1">
      <alignment vertical="center"/>
    </xf>
    <xf numFmtId="189" fontId="2" fillId="5" borderId="58" xfId="17" applyNumberFormat="1" applyFont="1" applyFill="1" applyBorder="1" applyAlignment="1">
      <alignment vertical="center"/>
    </xf>
    <xf numFmtId="189" fontId="2" fillId="0" borderId="58" xfId="17" applyNumberFormat="1" applyFont="1" applyBorder="1" applyAlignment="1">
      <alignment vertical="center"/>
    </xf>
    <xf numFmtId="171" fontId="2" fillId="7" borderId="60" xfId="17" applyFont="1" applyFill="1" applyBorder="1" applyAlignment="1">
      <alignment vertical="center"/>
    </xf>
    <xf numFmtId="0" fontId="7" fillId="0" borderId="18" xfId="22" applyBorder="1">
      <alignment/>
      <protection/>
    </xf>
    <xf numFmtId="0" fontId="7" fillId="8" borderId="18" xfId="22" applyFill="1" applyBorder="1">
      <alignment/>
      <protection/>
    </xf>
    <xf numFmtId="0" fontId="4" fillId="2" borderId="0" xfId="0" applyFont="1" applyFill="1" applyBorder="1" applyAlignment="1">
      <alignment/>
    </xf>
    <xf numFmtId="197" fontId="4" fillId="2" borderId="0" xfId="0" applyNumberFormat="1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194" fontId="4" fillId="2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1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9" fillId="0" borderId="18" xfId="0" applyFont="1" applyBorder="1" applyAlignment="1">
      <alignment/>
    </xf>
    <xf numFmtId="0" fontId="9" fillId="0" borderId="18" xfId="24" applyFont="1" applyFill="1" applyBorder="1" applyAlignment="1">
      <alignment wrapText="1"/>
      <protection/>
    </xf>
    <xf numFmtId="0" fontId="1" fillId="17" borderId="18" xfId="0" applyFont="1" applyFill="1" applyBorder="1" applyAlignment="1" applyProtection="1">
      <alignment horizontal="left"/>
      <protection/>
    </xf>
    <xf numFmtId="0" fontId="9" fillId="18" borderId="18" xfId="24" applyFont="1" applyFill="1" applyBorder="1" applyAlignment="1">
      <alignment wrapText="1"/>
      <protection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19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19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" fillId="4" borderId="33" xfId="22" applyFont="1" applyFill="1" applyBorder="1" applyAlignment="1">
      <alignment horizontal="center" vertical="center" wrapText="1"/>
      <protection/>
    </xf>
    <xf numFmtId="0" fontId="2" fillId="4" borderId="64" xfId="22" applyFont="1" applyFill="1" applyBorder="1" applyAlignment="1">
      <alignment horizontal="center" vertical="center" wrapText="1"/>
      <protection/>
    </xf>
    <xf numFmtId="0" fontId="9" fillId="4" borderId="65" xfId="22" applyFont="1" applyFill="1" applyBorder="1" applyAlignment="1">
      <alignment horizontal="center"/>
      <protection/>
    </xf>
    <xf numFmtId="0" fontId="9" fillId="4" borderId="66" xfId="22" applyFont="1" applyFill="1" applyBorder="1" applyAlignment="1">
      <alignment horizontal="center"/>
      <protection/>
    </xf>
    <xf numFmtId="0" fontId="2" fillId="4" borderId="65" xfId="22" applyFont="1" applyFill="1" applyBorder="1" applyAlignment="1">
      <alignment horizontal="center"/>
      <protection/>
    </xf>
    <xf numFmtId="0" fontId="2" fillId="4" borderId="67" xfId="22" applyFont="1" applyFill="1" applyBorder="1" applyAlignment="1">
      <alignment horizontal="center"/>
      <protection/>
    </xf>
    <xf numFmtId="0" fontId="2" fillId="4" borderId="66" xfId="22" applyFont="1" applyFill="1" applyBorder="1" applyAlignment="1">
      <alignment horizontal="center"/>
      <protection/>
    </xf>
    <xf numFmtId="0" fontId="9" fillId="6" borderId="38" xfId="22" applyFont="1" applyFill="1" applyBorder="1" applyAlignment="1">
      <alignment horizontal="center" vertical="center" wrapText="1"/>
      <protection/>
    </xf>
    <xf numFmtId="0" fontId="9" fillId="6" borderId="68" xfId="22" applyFont="1" applyFill="1" applyBorder="1" applyAlignment="1">
      <alignment horizontal="center" vertical="center" wrapText="1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9" fillId="6" borderId="69" xfId="22" applyFont="1" applyFill="1" applyBorder="1" applyAlignment="1">
      <alignment horizontal="center" vertical="center" wrapText="1"/>
      <protection/>
    </xf>
    <xf numFmtId="0" fontId="9" fillId="6" borderId="70" xfId="22" applyFont="1" applyFill="1" applyBorder="1" applyAlignment="1">
      <alignment horizontal="center" vertical="center" wrapText="1"/>
      <protection/>
    </xf>
    <xf numFmtId="0" fontId="9" fillId="6" borderId="71" xfId="22" applyFont="1" applyFill="1" applyBorder="1" applyAlignment="1">
      <alignment horizontal="center" vertical="center" wrapText="1"/>
      <protection/>
    </xf>
    <xf numFmtId="0" fontId="9" fillId="6" borderId="72" xfId="22" applyFont="1" applyFill="1" applyBorder="1" applyAlignment="1">
      <alignment horizontal="center" vertical="center" wrapText="1"/>
      <protection/>
    </xf>
    <xf numFmtId="0" fontId="9" fillId="6" borderId="73" xfId="22" applyFont="1" applyFill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/>
      <protection/>
    </xf>
    <xf numFmtId="195" fontId="1" fillId="10" borderId="0" xfId="0" applyNumberFormat="1" applyFont="1" applyFill="1" applyAlignment="1">
      <alignment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x" xfId="21"/>
    <cellStyle name="Normal_Costo equipos" xfId="22"/>
    <cellStyle name="Normal_Hoja1" xfId="23"/>
    <cellStyle name="Normal_IN-01-10" xfId="24"/>
    <cellStyle name="Normal_IN-05-04" xfId="25"/>
    <cellStyle name="Normal_IN-09-06" xfId="26"/>
    <cellStyle name="Normal_IN-11-0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cios\AUXILIAR%20PARA%20SACAR%20LISTA%20EN%20SISPRE%20OBRA\MES%20DE%20JUN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D2">
            <v>233.3333</v>
          </cell>
          <cell r="F2" t="str">
            <v>ac.002</v>
          </cell>
        </row>
        <row r="3">
          <cell r="D3">
            <v>3.9357</v>
          </cell>
          <cell r="F3" t="str">
            <v>ac.009</v>
          </cell>
        </row>
        <row r="4">
          <cell r="D4">
            <v>4.2201</v>
          </cell>
          <cell r="F4" t="str">
            <v>ac.010</v>
          </cell>
        </row>
        <row r="5">
          <cell r="D5">
            <v>4.1609</v>
          </cell>
          <cell r="F5" t="str">
            <v>ac.011</v>
          </cell>
        </row>
        <row r="6">
          <cell r="D6">
            <v>4.1745</v>
          </cell>
          <cell r="F6" t="str">
            <v>ac.012</v>
          </cell>
        </row>
        <row r="7">
          <cell r="D7">
            <v>4.1115</v>
          </cell>
          <cell r="F7" t="str">
            <v>ac.013</v>
          </cell>
        </row>
        <row r="8">
          <cell r="D8">
            <v>4.1892</v>
          </cell>
          <cell r="F8" t="str">
            <v>ac.014</v>
          </cell>
        </row>
        <row r="9">
          <cell r="D9">
            <v>4.1892</v>
          </cell>
          <cell r="F9" t="str">
            <v>ac.015</v>
          </cell>
        </row>
        <row r="10">
          <cell r="D10">
            <v>4189.2</v>
          </cell>
          <cell r="F10" t="str">
            <v>ac.016</v>
          </cell>
        </row>
        <row r="11">
          <cell r="D11">
            <v>14.8733</v>
          </cell>
          <cell r="F11" t="str">
            <v>ac.029</v>
          </cell>
        </row>
        <row r="12">
          <cell r="D12">
            <v>5.3261</v>
          </cell>
          <cell r="F12" t="str">
            <v>ac.030</v>
          </cell>
        </row>
        <row r="13">
          <cell r="D13">
            <v>8.8733</v>
          </cell>
          <cell r="F13" t="str">
            <v>ac.034</v>
          </cell>
        </row>
        <row r="14">
          <cell r="D14">
            <v>4.8425</v>
          </cell>
          <cell r="F14" t="str">
            <v>ac.040</v>
          </cell>
        </row>
        <row r="15">
          <cell r="D15">
            <v>5.876</v>
          </cell>
          <cell r="F15" t="str">
            <v>ac.050</v>
          </cell>
        </row>
        <row r="16">
          <cell r="D16">
            <v>5.6253</v>
          </cell>
          <cell r="F16" t="str">
            <v>ac.051</v>
          </cell>
        </row>
        <row r="17">
          <cell r="D17">
            <v>6.6033</v>
          </cell>
          <cell r="F17" t="str">
            <v>ac.052</v>
          </cell>
        </row>
        <row r="18">
          <cell r="D18">
            <v>14.9201</v>
          </cell>
          <cell r="F18" t="str">
            <v>ac.053</v>
          </cell>
        </row>
        <row r="19">
          <cell r="D19">
            <v>12.7893</v>
          </cell>
          <cell r="F19" t="str">
            <v>ac.060</v>
          </cell>
        </row>
        <row r="20">
          <cell r="D20">
            <v>5.6777</v>
          </cell>
          <cell r="F20" t="str">
            <v>ac.061</v>
          </cell>
        </row>
        <row r="21">
          <cell r="D21">
            <v>5.7879</v>
          </cell>
          <cell r="F21" t="str">
            <v>ac.062</v>
          </cell>
        </row>
        <row r="22">
          <cell r="D22">
            <v>0.326</v>
          </cell>
          <cell r="F22" t="str">
            <v>ac.070</v>
          </cell>
        </row>
        <row r="23">
          <cell r="D23">
            <v>0.3639</v>
          </cell>
          <cell r="F23" t="str">
            <v>ac.071</v>
          </cell>
        </row>
        <row r="24">
          <cell r="D24">
            <v>8.0221</v>
          </cell>
          <cell r="F24" t="str">
            <v>ac.072</v>
          </cell>
        </row>
        <row r="25">
          <cell r="D25">
            <v>17.6653</v>
          </cell>
          <cell r="F25" t="str">
            <v>ac.073</v>
          </cell>
        </row>
        <row r="26">
          <cell r="D26">
            <v>2.0032</v>
          </cell>
          <cell r="F26" t="str">
            <v>ac.080</v>
          </cell>
        </row>
        <row r="27">
          <cell r="D27">
            <v>2.3503</v>
          </cell>
          <cell r="F27" t="str">
            <v>ac.081</v>
          </cell>
        </row>
        <row r="28">
          <cell r="D28">
            <v>0.281</v>
          </cell>
          <cell r="F28" t="str">
            <v>ac.089</v>
          </cell>
        </row>
        <row r="29">
          <cell r="D29">
            <v>1.9834</v>
          </cell>
          <cell r="F29" t="str">
            <v>ac.090</v>
          </cell>
        </row>
        <row r="30">
          <cell r="D30">
            <v>5.3995</v>
          </cell>
          <cell r="F30" t="str">
            <v>ac.091</v>
          </cell>
        </row>
        <row r="31">
          <cell r="D31">
            <v>0.2529</v>
          </cell>
          <cell r="F31" t="str">
            <v>ac.092</v>
          </cell>
        </row>
        <row r="32">
          <cell r="D32">
            <v>7268.2259</v>
          </cell>
          <cell r="F32" t="str">
            <v>ac.093</v>
          </cell>
        </row>
        <row r="33">
          <cell r="D33">
            <v>4.1044</v>
          </cell>
          <cell r="F33" t="str">
            <v>ac.100</v>
          </cell>
        </row>
        <row r="34">
          <cell r="D34">
            <v>4.348</v>
          </cell>
          <cell r="F34" t="str">
            <v>ac.101</v>
          </cell>
        </row>
        <row r="35">
          <cell r="D35">
            <v>11.3388</v>
          </cell>
          <cell r="F35" t="str">
            <v>ac.102</v>
          </cell>
        </row>
        <row r="36">
          <cell r="D36">
            <v>19.6667</v>
          </cell>
          <cell r="F36" t="str">
            <v>ac.103</v>
          </cell>
        </row>
        <row r="37">
          <cell r="D37">
            <v>44.7245</v>
          </cell>
          <cell r="F37" t="str">
            <v>ac.104</v>
          </cell>
        </row>
        <row r="38">
          <cell r="D38">
            <v>80.8623</v>
          </cell>
          <cell r="F38" t="str">
            <v>ac.105</v>
          </cell>
        </row>
        <row r="39">
          <cell r="D39">
            <v>15.2272</v>
          </cell>
          <cell r="F39" t="str">
            <v>ac.106</v>
          </cell>
        </row>
        <row r="40">
          <cell r="D40">
            <v>23.1281</v>
          </cell>
          <cell r="F40" t="str">
            <v>ac.107</v>
          </cell>
        </row>
        <row r="41">
          <cell r="D41">
            <v>3.927</v>
          </cell>
          <cell r="F41" t="str">
            <v>ac.108</v>
          </cell>
        </row>
        <row r="42">
          <cell r="D42">
            <v>7.031</v>
          </cell>
          <cell r="F42" t="str">
            <v>ac.109</v>
          </cell>
        </row>
        <row r="43">
          <cell r="D43">
            <v>2.8264</v>
          </cell>
          <cell r="F43" t="str">
            <v>ac.110</v>
          </cell>
        </row>
        <row r="44">
          <cell r="D44">
            <v>0.3306</v>
          </cell>
          <cell r="F44" t="str">
            <v>ac.111</v>
          </cell>
        </row>
        <row r="45">
          <cell r="D45">
            <v>7.3471</v>
          </cell>
          <cell r="F45" t="str">
            <v>ac.116</v>
          </cell>
        </row>
        <row r="46">
          <cell r="D46">
            <v>9.2039</v>
          </cell>
          <cell r="F46" t="str">
            <v>ac.117</v>
          </cell>
        </row>
        <row r="47">
          <cell r="D47">
            <v>14.916</v>
          </cell>
          <cell r="F47" t="str">
            <v>ac.118</v>
          </cell>
        </row>
        <row r="48">
          <cell r="D48">
            <v>4.7718</v>
          </cell>
          <cell r="F48" t="str">
            <v>ac.119</v>
          </cell>
        </row>
        <row r="49">
          <cell r="D49">
            <v>16.1791</v>
          </cell>
          <cell r="F49" t="str">
            <v>ac.120</v>
          </cell>
        </row>
        <row r="50">
          <cell r="D50">
            <v>11.9049</v>
          </cell>
          <cell r="F50" t="str">
            <v>ac.121</v>
          </cell>
        </row>
        <row r="51">
          <cell r="D51">
            <v>2.6791</v>
          </cell>
          <cell r="F51" t="str">
            <v>ac.122</v>
          </cell>
        </row>
        <row r="52">
          <cell r="D52">
            <v>4.0046</v>
          </cell>
          <cell r="F52" t="str">
            <v>ac.123</v>
          </cell>
        </row>
        <row r="53">
          <cell r="D53">
            <v>3.1428</v>
          </cell>
          <cell r="F53" t="str">
            <v>ac.124</v>
          </cell>
        </row>
        <row r="54">
          <cell r="D54">
            <v>6.556</v>
          </cell>
          <cell r="F54" t="str">
            <v>ac.125</v>
          </cell>
        </row>
        <row r="55">
          <cell r="D55">
            <v>4.876</v>
          </cell>
          <cell r="F55" t="str">
            <v>ac.200</v>
          </cell>
        </row>
        <row r="56">
          <cell r="D56">
            <v>3.2231</v>
          </cell>
          <cell r="F56" t="str">
            <v>ac.201</v>
          </cell>
        </row>
        <row r="57">
          <cell r="D57">
            <v>4.424</v>
          </cell>
          <cell r="F57" t="str">
            <v>ac.500</v>
          </cell>
        </row>
        <row r="58">
          <cell r="D58">
            <v>4.2927</v>
          </cell>
          <cell r="F58" t="str">
            <v>ad.001</v>
          </cell>
        </row>
        <row r="59">
          <cell r="D59">
            <v>65</v>
          </cell>
          <cell r="F59" t="str">
            <v>ad.001</v>
          </cell>
        </row>
        <row r="60">
          <cell r="D60">
            <v>2.8148</v>
          </cell>
          <cell r="F60" t="str">
            <v>ad.002</v>
          </cell>
        </row>
        <row r="61">
          <cell r="D61">
            <v>0</v>
          </cell>
          <cell r="F61" t="str">
            <v>ai.001</v>
          </cell>
        </row>
        <row r="62">
          <cell r="D62">
            <v>8.2571</v>
          </cell>
          <cell r="F62" t="str">
            <v>ai.002</v>
          </cell>
        </row>
        <row r="63">
          <cell r="D63">
            <v>9.9901</v>
          </cell>
          <cell r="F63" t="str">
            <v>ai.002b</v>
          </cell>
        </row>
        <row r="64">
          <cell r="D64">
            <v>10.6012</v>
          </cell>
          <cell r="F64" t="str">
            <v>ai.003</v>
          </cell>
        </row>
        <row r="65">
          <cell r="D65">
            <v>3.0679</v>
          </cell>
          <cell r="F65" t="str">
            <v>ai.004</v>
          </cell>
        </row>
        <row r="66">
          <cell r="D66">
            <v>3.1091</v>
          </cell>
          <cell r="F66" t="str">
            <v>ai.004b</v>
          </cell>
        </row>
        <row r="67">
          <cell r="D67">
            <v>0</v>
          </cell>
          <cell r="F67" t="str">
            <v>ai.005</v>
          </cell>
        </row>
        <row r="68">
          <cell r="D68">
            <v>9.4265</v>
          </cell>
          <cell r="F68" t="str">
            <v>ai.005b</v>
          </cell>
        </row>
        <row r="69">
          <cell r="D69">
            <v>10.3459</v>
          </cell>
          <cell r="F69" t="str">
            <v>ai.005c</v>
          </cell>
        </row>
        <row r="70">
          <cell r="D70">
            <v>9.7867</v>
          </cell>
          <cell r="F70" t="str">
            <v>ai.006</v>
          </cell>
        </row>
        <row r="71">
          <cell r="D71">
            <v>0</v>
          </cell>
          <cell r="F71" t="str">
            <v>ai.006b</v>
          </cell>
        </row>
        <row r="72">
          <cell r="D72">
            <v>4.58</v>
          </cell>
          <cell r="F72" t="str">
            <v>ai.007</v>
          </cell>
        </row>
        <row r="73">
          <cell r="D73">
            <v>0</v>
          </cell>
          <cell r="F73" t="str">
            <v>ai.008</v>
          </cell>
        </row>
        <row r="74">
          <cell r="D74">
            <v>1.4233</v>
          </cell>
          <cell r="F74" t="str">
            <v>ai.009</v>
          </cell>
        </row>
        <row r="75">
          <cell r="D75">
            <v>4</v>
          </cell>
          <cell r="F75" t="str">
            <v>ai.010</v>
          </cell>
        </row>
        <row r="76">
          <cell r="D76">
            <v>3.5991</v>
          </cell>
          <cell r="F76" t="str">
            <v>ai.010b</v>
          </cell>
        </row>
        <row r="77">
          <cell r="D77">
            <v>3.0762</v>
          </cell>
          <cell r="F77" t="str">
            <v>ai.012</v>
          </cell>
        </row>
        <row r="78">
          <cell r="D78">
            <v>5.4545</v>
          </cell>
          <cell r="F78" t="str">
            <v>ai.014</v>
          </cell>
        </row>
        <row r="79">
          <cell r="D79">
            <v>22.9752</v>
          </cell>
          <cell r="F79" t="str">
            <v>ai.016</v>
          </cell>
        </row>
        <row r="80">
          <cell r="D80">
            <v>4.2975</v>
          </cell>
          <cell r="F80" t="str">
            <v>ai.017</v>
          </cell>
        </row>
        <row r="81">
          <cell r="D81">
            <v>2.7273</v>
          </cell>
          <cell r="F81" t="str">
            <v>ai.018</v>
          </cell>
        </row>
        <row r="82">
          <cell r="D82">
            <v>11.4876</v>
          </cell>
          <cell r="F82" t="str">
            <v>ai.055</v>
          </cell>
        </row>
        <row r="83">
          <cell r="D83">
            <v>48.3471</v>
          </cell>
          <cell r="F83" t="str">
            <v>ai.060</v>
          </cell>
        </row>
        <row r="84">
          <cell r="D84">
            <v>51</v>
          </cell>
          <cell r="F84" t="str">
            <v>ar.001</v>
          </cell>
        </row>
        <row r="85">
          <cell r="D85">
            <v>43</v>
          </cell>
          <cell r="F85" t="str">
            <v>ar.002</v>
          </cell>
        </row>
        <row r="86">
          <cell r="D86">
            <v>45.5</v>
          </cell>
          <cell r="F86" t="str">
            <v>ar.003</v>
          </cell>
        </row>
        <row r="87">
          <cell r="D87">
            <v>48</v>
          </cell>
          <cell r="F87" t="str">
            <v>ar.004</v>
          </cell>
        </row>
        <row r="88">
          <cell r="D88">
            <v>42.5</v>
          </cell>
          <cell r="F88" t="str">
            <v>ar.005</v>
          </cell>
        </row>
        <row r="89">
          <cell r="D89">
            <v>51</v>
          </cell>
          <cell r="F89" t="str">
            <v>ar.006</v>
          </cell>
        </row>
        <row r="90">
          <cell r="D90">
            <v>43.33</v>
          </cell>
          <cell r="F90" t="str">
            <v>ar.007</v>
          </cell>
        </row>
        <row r="91">
          <cell r="D91">
            <v>41.7767</v>
          </cell>
          <cell r="F91" t="str">
            <v>ar.008</v>
          </cell>
        </row>
        <row r="92">
          <cell r="D92">
            <v>40</v>
          </cell>
          <cell r="F92" t="str">
            <v>ar.009</v>
          </cell>
        </row>
        <row r="93">
          <cell r="D93">
            <v>44.4086</v>
          </cell>
          <cell r="F93" t="str">
            <v>ar.010</v>
          </cell>
        </row>
        <row r="94">
          <cell r="D94">
            <v>48</v>
          </cell>
          <cell r="F94" t="str">
            <v>ar.012</v>
          </cell>
        </row>
        <row r="95">
          <cell r="D95">
            <v>52</v>
          </cell>
          <cell r="F95" t="str">
            <v>ar.013</v>
          </cell>
        </row>
        <row r="96">
          <cell r="D96">
            <v>25.1</v>
          </cell>
          <cell r="F96" t="str">
            <v>az.001</v>
          </cell>
        </row>
        <row r="97">
          <cell r="D97">
            <v>24.2868</v>
          </cell>
          <cell r="F97" t="str">
            <v>az.001b</v>
          </cell>
        </row>
        <row r="98">
          <cell r="D98">
            <v>0</v>
          </cell>
          <cell r="F98" t="str">
            <v>bl.001</v>
          </cell>
        </row>
        <row r="99">
          <cell r="D99">
            <v>2.5295</v>
          </cell>
          <cell r="F99" t="str">
            <v>bl.002</v>
          </cell>
        </row>
        <row r="100">
          <cell r="D100">
            <v>15.1162</v>
          </cell>
          <cell r="F100" t="str">
            <v>bl.003</v>
          </cell>
        </row>
        <row r="101">
          <cell r="D101">
            <v>3.2231</v>
          </cell>
          <cell r="F101" t="str">
            <v>bl.004</v>
          </cell>
        </row>
        <row r="102">
          <cell r="D102">
            <v>11.3115</v>
          </cell>
          <cell r="F102" t="str">
            <v>bl.005</v>
          </cell>
        </row>
        <row r="103">
          <cell r="D103">
            <v>13.1342</v>
          </cell>
          <cell r="F103" t="str">
            <v>bl.006</v>
          </cell>
        </row>
        <row r="104">
          <cell r="D104">
            <v>95</v>
          </cell>
          <cell r="F104" t="str">
            <v>bz.001</v>
          </cell>
        </row>
        <row r="105">
          <cell r="D105">
            <v>155</v>
          </cell>
          <cell r="F105" t="str">
            <v>bz.002</v>
          </cell>
        </row>
        <row r="106">
          <cell r="D106">
            <v>953.57</v>
          </cell>
          <cell r="F106" t="str">
            <v>ca.001</v>
          </cell>
        </row>
        <row r="107">
          <cell r="D107">
            <v>888.3261</v>
          </cell>
          <cell r="F107" t="str">
            <v>ca.001b</v>
          </cell>
        </row>
        <row r="108">
          <cell r="D108">
            <v>0</v>
          </cell>
          <cell r="F108" t="str">
            <v>ca.002</v>
          </cell>
        </row>
        <row r="109">
          <cell r="D109">
            <v>42.9752</v>
          </cell>
          <cell r="F109" t="str">
            <v>ca.003</v>
          </cell>
        </row>
        <row r="110">
          <cell r="D110">
            <v>0</v>
          </cell>
          <cell r="F110" t="str">
            <v>ca.004</v>
          </cell>
        </row>
        <row r="111">
          <cell r="D111">
            <v>0</v>
          </cell>
          <cell r="F111" t="str">
            <v>ca.005</v>
          </cell>
        </row>
        <row r="112">
          <cell r="D112">
            <v>0</v>
          </cell>
          <cell r="F112" t="str">
            <v>ca.006</v>
          </cell>
        </row>
        <row r="113">
          <cell r="D113">
            <v>0</v>
          </cell>
          <cell r="F113" t="str">
            <v>ca.007</v>
          </cell>
        </row>
        <row r="114">
          <cell r="D114">
            <v>213.3519</v>
          </cell>
          <cell r="F114" t="str">
            <v>ca.008</v>
          </cell>
        </row>
        <row r="115">
          <cell r="D115">
            <v>0</v>
          </cell>
          <cell r="F115" t="str">
            <v>ca.009</v>
          </cell>
        </row>
        <row r="116">
          <cell r="D116">
            <v>1037.22</v>
          </cell>
          <cell r="F116" t="str">
            <v>ca.013</v>
          </cell>
        </row>
        <row r="117">
          <cell r="D117">
            <v>356.18</v>
          </cell>
          <cell r="F117" t="str">
            <v>ca.013b</v>
          </cell>
        </row>
        <row r="118">
          <cell r="D118">
            <v>0</v>
          </cell>
          <cell r="F118" t="str">
            <v>ca.017</v>
          </cell>
        </row>
        <row r="119">
          <cell r="D119">
            <v>0</v>
          </cell>
          <cell r="F119" t="str">
            <v>ca.018</v>
          </cell>
        </row>
        <row r="120">
          <cell r="D120">
            <v>0</v>
          </cell>
          <cell r="F120" t="str">
            <v>ca.019</v>
          </cell>
        </row>
        <row r="121">
          <cell r="D121">
            <v>659.1488</v>
          </cell>
          <cell r="F121" t="str">
            <v>ca.020</v>
          </cell>
        </row>
        <row r="122">
          <cell r="D122">
            <v>0</v>
          </cell>
          <cell r="F122" t="str">
            <v>ca.021</v>
          </cell>
        </row>
        <row r="123">
          <cell r="D123">
            <v>0</v>
          </cell>
          <cell r="F123" t="str">
            <v>ca.022</v>
          </cell>
        </row>
        <row r="124">
          <cell r="D124">
            <v>0</v>
          </cell>
          <cell r="F124" t="str">
            <v>ca.023</v>
          </cell>
        </row>
        <row r="125">
          <cell r="D125">
            <v>0</v>
          </cell>
          <cell r="F125" t="str">
            <v>ca.026</v>
          </cell>
        </row>
        <row r="126">
          <cell r="D126">
            <v>719.7025</v>
          </cell>
          <cell r="F126" t="str">
            <v>ca.030</v>
          </cell>
        </row>
        <row r="127">
          <cell r="D127">
            <v>0</v>
          </cell>
          <cell r="F127" t="str">
            <v>ca.031</v>
          </cell>
        </row>
        <row r="128">
          <cell r="D128">
            <v>0</v>
          </cell>
          <cell r="F128" t="str">
            <v>ca.032</v>
          </cell>
        </row>
        <row r="129">
          <cell r="D129">
            <v>0</v>
          </cell>
          <cell r="F129" t="str">
            <v>ca.035</v>
          </cell>
        </row>
        <row r="130">
          <cell r="D130">
            <v>0</v>
          </cell>
          <cell r="F130" t="str">
            <v>ca.036</v>
          </cell>
        </row>
        <row r="131">
          <cell r="D131">
            <v>0</v>
          </cell>
          <cell r="F131" t="str">
            <v>ca.037</v>
          </cell>
        </row>
        <row r="132">
          <cell r="D132">
            <v>0</v>
          </cell>
          <cell r="F132" t="str">
            <v>ca.038</v>
          </cell>
        </row>
        <row r="133">
          <cell r="D133">
            <v>0</v>
          </cell>
          <cell r="F133" t="str">
            <v>ca.040</v>
          </cell>
        </row>
        <row r="134">
          <cell r="D134">
            <v>0</v>
          </cell>
          <cell r="F134" t="str">
            <v>ca.041</v>
          </cell>
        </row>
        <row r="135">
          <cell r="D135">
            <v>0</v>
          </cell>
          <cell r="F135" t="str">
            <v>ca.042</v>
          </cell>
        </row>
        <row r="136">
          <cell r="D136">
            <v>0</v>
          </cell>
          <cell r="F136" t="str">
            <v>ca.047</v>
          </cell>
        </row>
        <row r="137">
          <cell r="D137">
            <v>0</v>
          </cell>
          <cell r="F137" t="str">
            <v>ca.048</v>
          </cell>
        </row>
        <row r="138">
          <cell r="D138">
            <v>0</v>
          </cell>
          <cell r="F138" t="str">
            <v>ca.050</v>
          </cell>
        </row>
        <row r="139">
          <cell r="D139">
            <v>0</v>
          </cell>
          <cell r="F139" t="str">
            <v>ca.051</v>
          </cell>
        </row>
        <row r="140">
          <cell r="D140">
            <v>0</v>
          </cell>
          <cell r="F140" t="str">
            <v>ca.052</v>
          </cell>
        </row>
        <row r="141">
          <cell r="D141">
            <v>0</v>
          </cell>
          <cell r="F141" t="str">
            <v>ca.055</v>
          </cell>
        </row>
        <row r="142">
          <cell r="D142">
            <v>0</v>
          </cell>
          <cell r="F142" t="str">
            <v>ca.056</v>
          </cell>
        </row>
        <row r="143">
          <cell r="D143">
            <v>0</v>
          </cell>
          <cell r="F143" t="str">
            <v>ca.057</v>
          </cell>
        </row>
        <row r="144">
          <cell r="D144">
            <v>0</v>
          </cell>
          <cell r="F144" t="str">
            <v>ca.058</v>
          </cell>
        </row>
        <row r="145">
          <cell r="D145">
            <v>0</v>
          </cell>
          <cell r="F145" t="str">
            <v>ca.059</v>
          </cell>
        </row>
        <row r="146">
          <cell r="D146">
            <v>0</v>
          </cell>
          <cell r="F146" t="str">
            <v>ca.060</v>
          </cell>
        </row>
        <row r="147">
          <cell r="D147">
            <v>0</v>
          </cell>
          <cell r="F147" t="str">
            <v>ca.062</v>
          </cell>
        </row>
        <row r="148">
          <cell r="D148">
            <v>0</v>
          </cell>
          <cell r="F148" t="str">
            <v>ca.063</v>
          </cell>
        </row>
        <row r="149">
          <cell r="D149">
            <v>0</v>
          </cell>
          <cell r="F149" t="str">
            <v>ca.065</v>
          </cell>
        </row>
        <row r="150">
          <cell r="D150">
            <v>0</v>
          </cell>
          <cell r="F150" t="str">
            <v>ca.066</v>
          </cell>
        </row>
        <row r="151">
          <cell r="D151">
            <v>0</v>
          </cell>
          <cell r="F151" t="str">
            <v>ca.075</v>
          </cell>
        </row>
        <row r="152">
          <cell r="D152">
            <v>0</v>
          </cell>
          <cell r="F152" t="str">
            <v>ca.076</v>
          </cell>
        </row>
        <row r="153">
          <cell r="D153">
            <v>0</v>
          </cell>
          <cell r="F153" t="str">
            <v>ca.077</v>
          </cell>
        </row>
        <row r="154">
          <cell r="D154">
            <v>0</v>
          </cell>
          <cell r="F154" t="str">
            <v>ca.080</v>
          </cell>
        </row>
        <row r="155">
          <cell r="D155">
            <v>0</v>
          </cell>
          <cell r="F155" t="str">
            <v>ca.081</v>
          </cell>
        </row>
        <row r="156">
          <cell r="D156">
            <v>0</v>
          </cell>
          <cell r="F156" t="str">
            <v>ca.082</v>
          </cell>
        </row>
        <row r="157">
          <cell r="D157">
            <v>0</v>
          </cell>
          <cell r="F157" t="str">
            <v>ca.083</v>
          </cell>
        </row>
        <row r="158">
          <cell r="D158">
            <v>0</v>
          </cell>
          <cell r="F158" t="str">
            <v>ca.084</v>
          </cell>
        </row>
        <row r="159">
          <cell r="D159">
            <v>0</v>
          </cell>
          <cell r="F159" t="str">
            <v>ca.085</v>
          </cell>
        </row>
        <row r="160">
          <cell r="D160">
            <v>0</v>
          </cell>
          <cell r="F160" t="str">
            <v>ca.086</v>
          </cell>
        </row>
        <row r="161">
          <cell r="D161">
            <v>0</v>
          </cell>
          <cell r="F161" t="str">
            <v>ca.087</v>
          </cell>
        </row>
        <row r="162">
          <cell r="D162">
            <v>0</v>
          </cell>
          <cell r="F162" t="str">
            <v>ca.088</v>
          </cell>
        </row>
        <row r="163">
          <cell r="D163">
            <v>0</v>
          </cell>
          <cell r="F163" t="str">
            <v>ca.090</v>
          </cell>
        </row>
        <row r="164">
          <cell r="D164">
            <v>0</v>
          </cell>
          <cell r="F164" t="str">
            <v>ca.091</v>
          </cell>
        </row>
        <row r="165">
          <cell r="D165">
            <v>0</v>
          </cell>
          <cell r="F165" t="str">
            <v>ca.095</v>
          </cell>
        </row>
        <row r="166">
          <cell r="D166">
            <v>0</v>
          </cell>
          <cell r="F166" t="str">
            <v>ca.096</v>
          </cell>
        </row>
        <row r="167">
          <cell r="D167">
            <v>0</v>
          </cell>
          <cell r="F167" t="str">
            <v>ca.097</v>
          </cell>
        </row>
        <row r="168">
          <cell r="D168">
            <v>0</v>
          </cell>
          <cell r="F168" t="str">
            <v>ca.100</v>
          </cell>
        </row>
        <row r="169">
          <cell r="D169">
            <v>0</v>
          </cell>
          <cell r="F169" t="str">
            <v>ca.101</v>
          </cell>
        </row>
        <row r="170">
          <cell r="D170">
            <v>1020</v>
          </cell>
          <cell r="F170" t="str">
            <v>ca.102</v>
          </cell>
        </row>
        <row r="171">
          <cell r="D171">
            <v>834</v>
          </cell>
          <cell r="F171" t="str">
            <v>ca.103</v>
          </cell>
        </row>
        <row r="172">
          <cell r="D172">
            <v>989</v>
          </cell>
          <cell r="F172" t="str">
            <v>ca.104</v>
          </cell>
        </row>
        <row r="173">
          <cell r="D173">
            <v>0</v>
          </cell>
          <cell r="F173" t="str">
            <v>ca.105</v>
          </cell>
        </row>
        <row r="174">
          <cell r="D174">
            <v>0</v>
          </cell>
          <cell r="F174" t="str">
            <v>ca.106</v>
          </cell>
        </row>
        <row r="175">
          <cell r="D175">
            <v>196</v>
          </cell>
          <cell r="F175" t="str">
            <v>ca.107</v>
          </cell>
        </row>
        <row r="176">
          <cell r="D176">
            <v>214</v>
          </cell>
          <cell r="F176" t="str">
            <v>ca.108</v>
          </cell>
        </row>
        <row r="177">
          <cell r="D177">
            <v>694</v>
          </cell>
          <cell r="F177" t="str">
            <v>ca.109</v>
          </cell>
        </row>
        <row r="178">
          <cell r="D178">
            <v>137</v>
          </cell>
          <cell r="F178" t="str">
            <v>ca.110</v>
          </cell>
        </row>
        <row r="179">
          <cell r="D179">
            <v>136</v>
          </cell>
          <cell r="F179" t="str">
            <v>ca.111</v>
          </cell>
        </row>
        <row r="180">
          <cell r="D180">
            <v>134</v>
          </cell>
          <cell r="F180" t="str">
            <v>ca.112</v>
          </cell>
        </row>
        <row r="181">
          <cell r="D181">
            <v>569</v>
          </cell>
          <cell r="F181" t="str">
            <v>ca.113</v>
          </cell>
        </row>
        <row r="182">
          <cell r="D182">
            <v>1009.8347</v>
          </cell>
          <cell r="F182" t="str">
            <v>ca.114</v>
          </cell>
        </row>
        <row r="183">
          <cell r="D183">
            <v>71.9008</v>
          </cell>
          <cell r="F183" t="str">
            <v>ch.002</v>
          </cell>
        </row>
        <row r="184">
          <cell r="D184">
            <v>0</v>
          </cell>
          <cell r="F184" t="str">
            <v>ch.003</v>
          </cell>
        </row>
        <row r="185">
          <cell r="D185">
            <v>5.3509</v>
          </cell>
          <cell r="F185" t="str">
            <v>ch.004</v>
          </cell>
        </row>
        <row r="186">
          <cell r="D186">
            <v>79.8347</v>
          </cell>
          <cell r="F186" t="str">
            <v>ch.006</v>
          </cell>
        </row>
        <row r="187">
          <cell r="D187">
            <v>5.4535</v>
          </cell>
          <cell r="F187" t="str">
            <v>ch.010</v>
          </cell>
        </row>
        <row r="188">
          <cell r="D188">
            <v>18.3916</v>
          </cell>
          <cell r="F188" t="str">
            <v>ch.011</v>
          </cell>
        </row>
        <row r="189">
          <cell r="D189">
            <v>112.3388</v>
          </cell>
          <cell r="F189" t="str">
            <v>ch.012</v>
          </cell>
        </row>
        <row r="190">
          <cell r="D190">
            <v>49.8182</v>
          </cell>
          <cell r="F190" t="str">
            <v>ch.013</v>
          </cell>
        </row>
        <row r="191">
          <cell r="D191">
            <v>7.9339</v>
          </cell>
          <cell r="F191" t="str">
            <v>ch.020</v>
          </cell>
        </row>
        <row r="192">
          <cell r="D192">
            <v>10.7438</v>
          </cell>
          <cell r="F192" t="str">
            <v>ch.021</v>
          </cell>
        </row>
        <row r="193">
          <cell r="D193">
            <v>78.5661</v>
          </cell>
          <cell r="F193" t="str">
            <v>ch.030</v>
          </cell>
        </row>
        <row r="194">
          <cell r="D194">
            <v>69.7024</v>
          </cell>
          <cell r="F194" t="str">
            <v>ch.031</v>
          </cell>
        </row>
        <row r="195">
          <cell r="D195">
            <v>9.5959</v>
          </cell>
          <cell r="F195" t="str">
            <v>ch.032</v>
          </cell>
        </row>
        <row r="196">
          <cell r="D196">
            <v>38.4628</v>
          </cell>
          <cell r="F196" t="str">
            <v>ch.033</v>
          </cell>
        </row>
        <row r="197">
          <cell r="D197">
            <v>0</v>
          </cell>
          <cell r="F197" t="str">
            <v>ch.034</v>
          </cell>
        </row>
        <row r="198">
          <cell r="D198">
            <v>185.124</v>
          </cell>
          <cell r="F198" t="str">
            <v>ch.035</v>
          </cell>
        </row>
        <row r="199">
          <cell r="D199">
            <v>74.7107</v>
          </cell>
          <cell r="F199" t="str">
            <v>ch.036</v>
          </cell>
        </row>
        <row r="200">
          <cell r="D200">
            <v>224.1322</v>
          </cell>
          <cell r="F200" t="str">
            <v>ch.037</v>
          </cell>
        </row>
        <row r="201">
          <cell r="D201">
            <v>134.4628</v>
          </cell>
          <cell r="F201" t="str">
            <v>ch.038</v>
          </cell>
        </row>
        <row r="202">
          <cell r="D202">
            <v>119.5372</v>
          </cell>
          <cell r="F202" t="str">
            <v>ch.039</v>
          </cell>
        </row>
        <row r="203">
          <cell r="D203">
            <v>15.93</v>
          </cell>
          <cell r="F203" t="str">
            <v>ch.040</v>
          </cell>
        </row>
        <row r="204">
          <cell r="D204">
            <v>1.36</v>
          </cell>
          <cell r="F204" t="str">
            <v>el.009</v>
          </cell>
        </row>
        <row r="205">
          <cell r="D205">
            <v>1.5809</v>
          </cell>
          <cell r="F205" t="str">
            <v>el.009b</v>
          </cell>
        </row>
        <row r="206">
          <cell r="D206">
            <v>252</v>
          </cell>
          <cell r="F206" t="str">
            <v>el.010</v>
          </cell>
        </row>
        <row r="207">
          <cell r="D207">
            <v>351.75</v>
          </cell>
          <cell r="F207" t="str">
            <v>el.011</v>
          </cell>
        </row>
        <row r="208">
          <cell r="D208">
            <v>36.31</v>
          </cell>
          <cell r="F208" t="str">
            <v>el.020</v>
          </cell>
        </row>
        <row r="209">
          <cell r="D209">
            <v>35.9127</v>
          </cell>
          <cell r="F209" t="str">
            <v>el.020b</v>
          </cell>
        </row>
        <row r="210">
          <cell r="D210">
            <v>70.75</v>
          </cell>
          <cell r="F210" t="str">
            <v>el.021</v>
          </cell>
        </row>
        <row r="211">
          <cell r="D211">
            <v>71.3786</v>
          </cell>
          <cell r="F211" t="str">
            <v>el.021b</v>
          </cell>
        </row>
        <row r="212">
          <cell r="D212">
            <v>2.5463</v>
          </cell>
          <cell r="F212" t="str">
            <v>el.022</v>
          </cell>
        </row>
        <row r="213">
          <cell r="D213">
            <v>2.5463</v>
          </cell>
          <cell r="F213" t="str">
            <v>el.022b</v>
          </cell>
        </row>
        <row r="214">
          <cell r="D214">
            <v>1.5524</v>
          </cell>
          <cell r="F214" t="str">
            <v>el.023</v>
          </cell>
        </row>
        <row r="215">
          <cell r="D215">
            <v>1.4704</v>
          </cell>
          <cell r="F215" t="str">
            <v>el.023b</v>
          </cell>
        </row>
        <row r="216">
          <cell r="D216">
            <v>8.02</v>
          </cell>
          <cell r="F216" t="str">
            <v>el.024</v>
          </cell>
        </row>
        <row r="217">
          <cell r="D217">
            <v>6.7525</v>
          </cell>
          <cell r="F217" t="str">
            <v>el.024b</v>
          </cell>
        </row>
        <row r="218">
          <cell r="D218">
            <v>14.88</v>
          </cell>
          <cell r="F218" t="str">
            <v>el.025</v>
          </cell>
        </row>
        <row r="219">
          <cell r="D219">
            <v>12.7595</v>
          </cell>
          <cell r="F219" t="str">
            <v>el.025b</v>
          </cell>
        </row>
        <row r="220">
          <cell r="D220">
            <v>3.724</v>
          </cell>
          <cell r="F220" t="str">
            <v>el.026</v>
          </cell>
        </row>
        <row r="221">
          <cell r="D221">
            <v>0.9</v>
          </cell>
          <cell r="F221" t="str">
            <v>el.027</v>
          </cell>
        </row>
        <row r="222">
          <cell r="D222">
            <v>0.8591</v>
          </cell>
          <cell r="F222" t="str">
            <v>el.027b</v>
          </cell>
        </row>
        <row r="223">
          <cell r="D223">
            <v>1.1261</v>
          </cell>
          <cell r="F223" t="str">
            <v>el.028b</v>
          </cell>
        </row>
        <row r="224">
          <cell r="D224">
            <v>2.2407</v>
          </cell>
          <cell r="F224" t="str">
            <v>el.029b</v>
          </cell>
        </row>
        <row r="225">
          <cell r="D225">
            <v>1.94</v>
          </cell>
          <cell r="F225" t="str">
            <v>el.057</v>
          </cell>
        </row>
        <row r="226">
          <cell r="D226">
            <v>1.8504</v>
          </cell>
          <cell r="F226" t="str">
            <v>el.057b</v>
          </cell>
        </row>
        <row r="227">
          <cell r="D227">
            <v>0.91</v>
          </cell>
          <cell r="F227" t="str">
            <v>el.058</v>
          </cell>
        </row>
        <row r="228">
          <cell r="D228">
            <v>0.919</v>
          </cell>
          <cell r="F228" t="str">
            <v>el.058b</v>
          </cell>
        </row>
        <row r="229">
          <cell r="D229">
            <v>3.62</v>
          </cell>
          <cell r="F229" t="str">
            <v>el.059</v>
          </cell>
        </row>
        <row r="230">
          <cell r="D230">
            <v>3.8504</v>
          </cell>
          <cell r="F230" t="str">
            <v>el.059b</v>
          </cell>
        </row>
        <row r="231">
          <cell r="D231">
            <v>1.97</v>
          </cell>
          <cell r="F231" t="str">
            <v>el.060</v>
          </cell>
        </row>
        <row r="232">
          <cell r="D232">
            <v>1.9003</v>
          </cell>
          <cell r="F232" t="str">
            <v>el.060b</v>
          </cell>
        </row>
        <row r="233">
          <cell r="D233">
            <v>17.36</v>
          </cell>
          <cell r="F233" t="str">
            <v>el.061</v>
          </cell>
        </row>
        <row r="234">
          <cell r="D234">
            <v>15.1434</v>
          </cell>
          <cell r="F234" t="str">
            <v>el.061b</v>
          </cell>
        </row>
        <row r="235">
          <cell r="D235">
            <v>19.91</v>
          </cell>
          <cell r="F235" t="str">
            <v>el.062</v>
          </cell>
        </row>
        <row r="236">
          <cell r="D236">
            <v>21.0512</v>
          </cell>
          <cell r="F236" t="str">
            <v>el.062b</v>
          </cell>
        </row>
        <row r="237">
          <cell r="D237">
            <v>9.52</v>
          </cell>
          <cell r="F237" t="str">
            <v>el.071</v>
          </cell>
        </row>
        <row r="238">
          <cell r="D238">
            <v>10.9143</v>
          </cell>
          <cell r="F238" t="str">
            <v>el.071b</v>
          </cell>
        </row>
        <row r="239">
          <cell r="D239">
            <v>14.83</v>
          </cell>
          <cell r="F239" t="str">
            <v>el.072</v>
          </cell>
        </row>
        <row r="240">
          <cell r="D240">
            <v>14.8434</v>
          </cell>
          <cell r="F240" t="str">
            <v>el.072b</v>
          </cell>
        </row>
        <row r="241">
          <cell r="D241">
            <v>16.89</v>
          </cell>
          <cell r="F241" t="str">
            <v>el.073</v>
          </cell>
        </row>
        <row r="242">
          <cell r="D242">
            <v>16.888</v>
          </cell>
          <cell r="F242" t="str">
            <v>el.073b</v>
          </cell>
        </row>
        <row r="243">
          <cell r="D243">
            <v>1.89</v>
          </cell>
          <cell r="F243" t="str">
            <v>el.075</v>
          </cell>
        </row>
        <row r="244">
          <cell r="D244">
            <v>1.8393</v>
          </cell>
          <cell r="F244" t="str">
            <v>el.075b</v>
          </cell>
        </row>
        <row r="245">
          <cell r="D245">
            <v>1.642</v>
          </cell>
          <cell r="F245" t="str">
            <v>el.076</v>
          </cell>
        </row>
        <row r="246">
          <cell r="D246">
            <v>1.7095</v>
          </cell>
          <cell r="F246" t="str">
            <v>el.076b</v>
          </cell>
        </row>
        <row r="247">
          <cell r="D247">
            <v>0.99</v>
          </cell>
          <cell r="F247" t="str">
            <v>el.080</v>
          </cell>
        </row>
        <row r="248">
          <cell r="D248">
            <v>0.6479</v>
          </cell>
          <cell r="F248" t="str">
            <v>el.080b</v>
          </cell>
        </row>
        <row r="249">
          <cell r="D249">
            <v>0</v>
          </cell>
          <cell r="F249" t="str">
            <v>el.082</v>
          </cell>
        </row>
        <row r="250">
          <cell r="D250">
            <v>9.13</v>
          </cell>
          <cell r="F250" t="str">
            <v>el.100</v>
          </cell>
        </row>
        <row r="251">
          <cell r="D251">
            <v>9.0063</v>
          </cell>
          <cell r="F251" t="str">
            <v>el.100b</v>
          </cell>
        </row>
        <row r="252">
          <cell r="D252">
            <v>16.2</v>
          </cell>
          <cell r="F252" t="str">
            <v>el.101</v>
          </cell>
        </row>
        <row r="253">
          <cell r="D253">
            <v>16.4281</v>
          </cell>
          <cell r="F253" t="str">
            <v>el.101b</v>
          </cell>
        </row>
        <row r="254">
          <cell r="D254">
            <v>96.17</v>
          </cell>
          <cell r="F254" t="str">
            <v>el.102</v>
          </cell>
        </row>
        <row r="255">
          <cell r="D255">
            <v>82.1963</v>
          </cell>
          <cell r="F255" t="str">
            <v>el.102b</v>
          </cell>
        </row>
        <row r="256">
          <cell r="D256">
            <v>24.56</v>
          </cell>
          <cell r="F256" t="str">
            <v>el.103</v>
          </cell>
        </row>
        <row r="257">
          <cell r="D257">
            <v>26.874</v>
          </cell>
          <cell r="F257" t="str">
            <v>el.103b</v>
          </cell>
        </row>
        <row r="258">
          <cell r="D258">
            <v>101.97</v>
          </cell>
          <cell r="F258" t="str">
            <v>el.104</v>
          </cell>
        </row>
        <row r="259">
          <cell r="D259">
            <v>87.1475</v>
          </cell>
          <cell r="F259" t="str">
            <v>el.104b</v>
          </cell>
        </row>
        <row r="260">
          <cell r="D260">
            <v>157.45</v>
          </cell>
          <cell r="F260" t="str">
            <v>el.105</v>
          </cell>
        </row>
        <row r="261">
          <cell r="D261">
            <v>161.9173</v>
          </cell>
          <cell r="F261" t="str">
            <v>el.105b</v>
          </cell>
        </row>
        <row r="262">
          <cell r="D262">
            <v>7.28</v>
          </cell>
          <cell r="F262" t="str">
            <v>el.107</v>
          </cell>
        </row>
        <row r="263">
          <cell r="D263">
            <v>8.5169</v>
          </cell>
          <cell r="F263" t="str">
            <v>el.107b</v>
          </cell>
        </row>
        <row r="264">
          <cell r="D264">
            <v>10.95</v>
          </cell>
          <cell r="F264" t="str">
            <v>el.108</v>
          </cell>
        </row>
        <row r="265">
          <cell r="D265">
            <v>11.5865</v>
          </cell>
          <cell r="F265" t="str">
            <v>el.108b</v>
          </cell>
        </row>
        <row r="266">
          <cell r="D266">
            <v>10.12</v>
          </cell>
          <cell r="F266" t="str">
            <v>el.109</v>
          </cell>
        </row>
        <row r="267">
          <cell r="D267">
            <v>10.6938</v>
          </cell>
          <cell r="F267" t="str">
            <v>el.109b</v>
          </cell>
        </row>
        <row r="268">
          <cell r="D268">
            <v>157.36</v>
          </cell>
          <cell r="F268" t="str">
            <v>el.110</v>
          </cell>
        </row>
        <row r="269">
          <cell r="D269">
            <v>154.9136</v>
          </cell>
          <cell r="F269" t="str">
            <v>el.110b</v>
          </cell>
        </row>
        <row r="270">
          <cell r="D270">
            <v>172.39</v>
          </cell>
          <cell r="F270" t="str">
            <v>el.111</v>
          </cell>
        </row>
        <row r="271">
          <cell r="D271">
            <v>190.5624</v>
          </cell>
          <cell r="F271" t="str">
            <v>el.111b</v>
          </cell>
        </row>
        <row r="272">
          <cell r="D272">
            <v>26.26</v>
          </cell>
          <cell r="F272" t="str">
            <v>el.112</v>
          </cell>
        </row>
        <row r="273">
          <cell r="D273">
            <v>26.4202</v>
          </cell>
          <cell r="F273" t="str">
            <v>el.112b</v>
          </cell>
        </row>
        <row r="274">
          <cell r="D274">
            <v>59.96</v>
          </cell>
          <cell r="F274" t="str">
            <v>el.113</v>
          </cell>
        </row>
        <row r="275">
          <cell r="D275">
            <v>60.364</v>
          </cell>
          <cell r="F275" t="str">
            <v>el.113b</v>
          </cell>
        </row>
        <row r="276">
          <cell r="D276">
            <v>49.33</v>
          </cell>
          <cell r="F276" t="str">
            <v>el.114</v>
          </cell>
        </row>
        <row r="277">
          <cell r="D277">
            <v>49.6645</v>
          </cell>
          <cell r="F277" t="str">
            <v>el.114b</v>
          </cell>
        </row>
        <row r="278">
          <cell r="D278">
            <v>8.01</v>
          </cell>
          <cell r="F278" t="str">
            <v>el.115</v>
          </cell>
        </row>
        <row r="279">
          <cell r="D279">
            <v>11.6674</v>
          </cell>
          <cell r="F279" t="str">
            <v>el.115b</v>
          </cell>
        </row>
        <row r="280">
          <cell r="D280">
            <v>14000</v>
          </cell>
          <cell r="F280" t="str">
            <v>el.149</v>
          </cell>
        </row>
        <row r="281">
          <cell r="D281">
            <v>14000</v>
          </cell>
          <cell r="F281" t="str">
            <v>el.149b</v>
          </cell>
        </row>
        <row r="282">
          <cell r="D282">
            <v>3.51</v>
          </cell>
          <cell r="F282" t="str">
            <v>el.150</v>
          </cell>
        </row>
        <row r="283">
          <cell r="D283">
            <v>3.1</v>
          </cell>
          <cell r="F283" t="str">
            <v>el.150b</v>
          </cell>
        </row>
        <row r="284">
          <cell r="D284">
            <v>21.99</v>
          </cell>
          <cell r="F284" t="str">
            <v>el.151</v>
          </cell>
        </row>
        <row r="285">
          <cell r="D285">
            <v>25.9777</v>
          </cell>
          <cell r="F285" t="str">
            <v>el.151b</v>
          </cell>
        </row>
        <row r="286">
          <cell r="D286">
            <v>141.88</v>
          </cell>
          <cell r="F286" t="str">
            <v>el.152</v>
          </cell>
        </row>
        <row r="287">
          <cell r="D287">
            <v>147.1752</v>
          </cell>
          <cell r="F287" t="str">
            <v>el.152b</v>
          </cell>
        </row>
        <row r="288">
          <cell r="D288">
            <v>0</v>
          </cell>
          <cell r="F288" t="str">
            <v>el.153</v>
          </cell>
        </row>
        <row r="289">
          <cell r="D289">
            <v>0</v>
          </cell>
          <cell r="F289" t="str">
            <v>el.154</v>
          </cell>
        </row>
        <row r="290">
          <cell r="D290">
            <v>0.8</v>
          </cell>
          <cell r="F290" t="str">
            <v>el.159</v>
          </cell>
        </row>
        <row r="291">
          <cell r="D291">
            <v>1.0182</v>
          </cell>
          <cell r="F291" t="str">
            <v>el.159b</v>
          </cell>
        </row>
        <row r="292">
          <cell r="D292">
            <v>88.0515</v>
          </cell>
          <cell r="F292" t="str">
            <v>el.160</v>
          </cell>
        </row>
        <row r="293">
          <cell r="D293">
            <v>7.88</v>
          </cell>
          <cell r="F293" t="str">
            <v>el.160a</v>
          </cell>
        </row>
        <row r="294">
          <cell r="D294">
            <v>7.3587</v>
          </cell>
          <cell r="F294" t="str">
            <v>el.160b</v>
          </cell>
        </row>
        <row r="295">
          <cell r="D295">
            <v>0</v>
          </cell>
          <cell r="F295" t="str">
            <v>el.161</v>
          </cell>
        </row>
        <row r="296">
          <cell r="D296">
            <v>0</v>
          </cell>
          <cell r="F296" t="str">
            <v>el.162</v>
          </cell>
        </row>
        <row r="297">
          <cell r="D297">
            <v>0</v>
          </cell>
          <cell r="F297" t="str">
            <v>el.163</v>
          </cell>
        </row>
        <row r="298">
          <cell r="D298">
            <v>0.76</v>
          </cell>
          <cell r="F298" t="str">
            <v>el.164</v>
          </cell>
        </row>
        <row r="299">
          <cell r="D299">
            <v>0.981</v>
          </cell>
          <cell r="F299" t="str">
            <v>el.164b</v>
          </cell>
        </row>
        <row r="300">
          <cell r="D300">
            <v>1.49</v>
          </cell>
          <cell r="F300" t="str">
            <v>el.165</v>
          </cell>
        </row>
        <row r="301">
          <cell r="D301">
            <v>1.6421</v>
          </cell>
          <cell r="F301" t="str">
            <v>el.165b</v>
          </cell>
        </row>
        <row r="302">
          <cell r="D302">
            <v>2.07</v>
          </cell>
          <cell r="F302" t="str">
            <v>el.166</v>
          </cell>
        </row>
        <row r="303">
          <cell r="D303">
            <v>2.4818</v>
          </cell>
          <cell r="F303" t="str">
            <v>el.166b</v>
          </cell>
        </row>
        <row r="304">
          <cell r="D304">
            <v>0.91</v>
          </cell>
          <cell r="F304" t="str">
            <v>el.168</v>
          </cell>
        </row>
        <row r="305">
          <cell r="D305">
            <v>0.8463</v>
          </cell>
          <cell r="F305" t="str">
            <v>el.168b</v>
          </cell>
        </row>
        <row r="306">
          <cell r="D306">
            <v>4.1</v>
          </cell>
          <cell r="F306" t="str">
            <v>el.170</v>
          </cell>
        </row>
        <row r="307">
          <cell r="D307">
            <v>4.9636</v>
          </cell>
          <cell r="F307" t="str">
            <v>el.170b</v>
          </cell>
        </row>
        <row r="308">
          <cell r="D308">
            <v>0.8521</v>
          </cell>
          <cell r="F308" t="str">
            <v>el.171</v>
          </cell>
        </row>
        <row r="309">
          <cell r="D309">
            <v>1.9371</v>
          </cell>
          <cell r="F309" t="str">
            <v>el.172</v>
          </cell>
        </row>
        <row r="310">
          <cell r="D310">
            <v>1.8504</v>
          </cell>
          <cell r="F310" t="str">
            <v>el.172b</v>
          </cell>
        </row>
        <row r="311">
          <cell r="D311">
            <v>0</v>
          </cell>
          <cell r="F311" t="str">
            <v>el.173</v>
          </cell>
        </row>
        <row r="312">
          <cell r="D312">
            <v>6.5612</v>
          </cell>
          <cell r="F312" t="str">
            <v>el.173'</v>
          </cell>
        </row>
        <row r="313">
          <cell r="D313">
            <v>0.687</v>
          </cell>
          <cell r="F313" t="str">
            <v>el.174</v>
          </cell>
        </row>
        <row r="314">
          <cell r="D314">
            <v>1.338</v>
          </cell>
          <cell r="F314" t="str">
            <v>el.175</v>
          </cell>
        </row>
        <row r="315">
          <cell r="D315">
            <v>30500</v>
          </cell>
          <cell r="F315" t="str">
            <v>eq,054b</v>
          </cell>
        </row>
        <row r="316">
          <cell r="D316">
            <v>243063.75</v>
          </cell>
          <cell r="F316" t="str">
            <v>eq.001</v>
          </cell>
        </row>
        <row r="317">
          <cell r="D317">
            <v>0</v>
          </cell>
          <cell r="F317" t="str">
            <v>eq.001'</v>
          </cell>
        </row>
        <row r="318">
          <cell r="D318">
            <v>253695</v>
          </cell>
          <cell r="F318" t="str">
            <v>eq.001b</v>
          </cell>
        </row>
        <row r="319">
          <cell r="D319">
            <v>39217.4</v>
          </cell>
          <cell r="F319" t="str">
            <v>eq.002</v>
          </cell>
        </row>
        <row r="320">
          <cell r="D320">
            <v>41000</v>
          </cell>
          <cell r="F320" t="str">
            <v>eq.002b</v>
          </cell>
        </row>
        <row r="321">
          <cell r="D321">
            <v>195.2</v>
          </cell>
          <cell r="F321" t="str">
            <v>eq.003</v>
          </cell>
        </row>
        <row r="322">
          <cell r="D322">
            <v>262.81</v>
          </cell>
          <cell r="F322" t="str">
            <v>eq.004</v>
          </cell>
        </row>
        <row r="323">
          <cell r="D323">
            <v>150.49</v>
          </cell>
          <cell r="F323" t="str">
            <v>eq.005</v>
          </cell>
        </row>
        <row r="324">
          <cell r="D324">
            <v>2.836</v>
          </cell>
          <cell r="F324" t="str">
            <v>eq.006</v>
          </cell>
        </row>
        <row r="325">
          <cell r="D325">
            <v>429362.43</v>
          </cell>
          <cell r="F325" t="str">
            <v>eq.007</v>
          </cell>
        </row>
        <row r="326">
          <cell r="D326">
            <v>353961.9</v>
          </cell>
          <cell r="F326" t="str">
            <v>eq.007b</v>
          </cell>
        </row>
        <row r="327">
          <cell r="D327">
            <v>150.49</v>
          </cell>
          <cell r="F327" t="str">
            <v>eq.008</v>
          </cell>
        </row>
        <row r="328">
          <cell r="D328">
            <v>648913.51</v>
          </cell>
          <cell r="F328" t="str">
            <v>eq.009</v>
          </cell>
        </row>
        <row r="329">
          <cell r="D329">
            <v>837577.26</v>
          </cell>
          <cell r="F329" t="str">
            <v>eq.009b</v>
          </cell>
        </row>
        <row r="330">
          <cell r="D330">
            <v>229.72</v>
          </cell>
          <cell r="F330" t="str">
            <v>eq.010</v>
          </cell>
        </row>
        <row r="331">
          <cell r="D331">
            <v>550971.06</v>
          </cell>
          <cell r="F331" t="str">
            <v>eq.011</v>
          </cell>
        </row>
        <row r="332">
          <cell r="D332">
            <v>195.2</v>
          </cell>
          <cell r="F332" t="str">
            <v>eq.012</v>
          </cell>
        </row>
        <row r="333">
          <cell r="D333">
            <v>650365.73</v>
          </cell>
          <cell r="F333" t="str">
            <v>eq.013</v>
          </cell>
        </row>
        <row r="334">
          <cell r="D334">
            <v>816896.34</v>
          </cell>
          <cell r="F334" t="str">
            <v>eq.013b</v>
          </cell>
        </row>
        <row r="335">
          <cell r="D335">
            <v>187.56</v>
          </cell>
          <cell r="F335" t="str">
            <v>eq.014</v>
          </cell>
        </row>
        <row r="336">
          <cell r="D336">
            <v>398627.65</v>
          </cell>
          <cell r="F336" t="str">
            <v>eq.015</v>
          </cell>
        </row>
        <row r="337">
          <cell r="D337">
            <v>116.98</v>
          </cell>
          <cell r="F337" t="str">
            <v>eq.016</v>
          </cell>
        </row>
        <row r="338">
          <cell r="D338">
            <v>543951.84</v>
          </cell>
          <cell r="F338" t="str">
            <v>eq.017</v>
          </cell>
        </row>
        <row r="339">
          <cell r="D339">
            <v>163.03</v>
          </cell>
          <cell r="F339" t="str">
            <v>eq.018</v>
          </cell>
        </row>
        <row r="340">
          <cell r="D340">
            <v>648206.25</v>
          </cell>
          <cell r="F340" t="str">
            <v>eq.019</v>
          </cell>
        </row>
        <row r="341">
          <cell r="D341">
            <v>419295.9276</v>
          </cell>
          <cell r="F341" t="str">
            <v>eq.019b</v>
          </cell>
        </row>
        <row r="342">
          <cell r="D342">
            <v>262.81</v>
          </cell>
          <cell r="F342" t="str">
            <v>eq.020</v>
          </cell>
        </row>
        <row r="343">
          <cell r="D343">
            <v>269868.78</v>
          </cell>
          <cell r="F343" t="str">
            <v>eq.021</v>
          </cell>
        </row>
        <row r="344">
          <cell r="D344">
            <v>95.15</v>
          </cell>
          <cell r="F344" t="str">
            <v>eq.022</v>
          </cell>
        </row>
        <row r="345">
          <cell r="D345">
            <v>983884.81</v>
          </cell>
          <cell r="F345" t="str">
            <v>eq.024</v>
          </cell>
        </row>
        <row r="346">
          <cell r="D346">
            <v>2142861.48</v>
          </cell>
          <cell r="F346" t="str">
            <v>eq.024b</v>
          </cell>
        </row>
        <row r="347">
          <cell r="D347">
            <v>262.96</v>
          </cell>
          <cell r="F347" t="str">
            <v>eq.025</v>
          </cell>
        </row>
        <row r="348">
          <cell r="D348">
            <v>10429.57</v>
          </cell>
          <cell r="F348" t="str">
            <v>eq.026</v>
          </cell>
        </row>
        <row r="349">
          <cell r="D349">
            <v>13538.05</v>
          </cell>
          <cell r="F349" t="str">
            <v>eq.026b</v>
          </cell>
        </row>
        <row r="350">
          <cell r="D350">
            <v>0</v>
          </cell>
          <cell r="F350" t="str">
            <v>eq.027</v>
          </cell>
        </row>
        <row r="351">
          <cell r="D351">
            <v>7486.72</v>
          </cell>
          <cell r="F351" t="str">
            <v>eq.028</v>
          </cell>
        </row>
        <row r="352">
          <cell r="D352">
            <v>2962.94</v>
          </cell>
          <cell r="F352" t="str">
            <v>eq.028b</v>
          </cell>
        </row>
        <row r="353">
          <cell r="D353">
            <v>0</v>
          </cell>
          <cell r="F353" t="str">
            <v>eq.029</v>
          </cell>
        </row>
        <row r="354">
          <cell r="D354">
            <v>774982.76</v>
          </cell>
          <cell r="F354" t="str">
            <v>eq.030</v>
          </cell>
        </row>
        <row r="355">
          <cell r="D355">
            <v>109741</v>
          </cell>
          <cell r="F355" t="str">
            <v>eq.030b</v>
          </cell>
        </row>
        <row r="356">
          <cell r="D356">
            <v>0</v>
          </cell>
          <cell r="F356" t="str">
            <v>eq.031</v>
          </cell>
        </row>
        <row r="357">
          <cell r="D357">
            <v>13333.75</v>
          </cell>
          <cell r="F357" t="str">
            <v>eq.040</v>
          </cell>
        </row>
        <row r="358">
          <cell r="D358">
            <v>9664.35</v>
          </cell>
          <cell r="F358" t="str">
            <v>eq.040b</v>
          </cell>
        </row>
        <row r="359">
          <cell r="D359">
            <v>0</v>
          </cell>
          <cell r="F359" t="str">
            <v>eq.041</v>
          </cell>
        </row>
        <row r="360">
          <cell r="D360">
            <v>21569.88</v>
          </cell>
          <cell r="F360" t="str">
            <v>eq.044</v>
          </cell>
        </row>
        <row r="361">
          <cell r="D361">
            <v>41902.73</v>
          </cell>
          <cell r="F361" t="str">
            <v>eq.044b</v>
          </cell>
        </row>
        <row r="362">
          <cell r="D362">
            <v>0</v>
          </cell>
          <cell r="F362" t="str">
            <v>eq.046</v>
          </cell>
        </row>
        <row r="363">
          <cell r="D363">
            <v>103984.74</v>
          </cell>
          <cell r="F363" t="str">
            <v>eq.048</v>
          </cell>
        </row>
        <row r="364">
          <cell r="D364">
            <v>0</v>
          </cell>
          <cell r="F364" t="str">
            <v>eq.049</v>
          </cell>
        </row>
        <row r="365">
          <cell r="D365">
            <v>67816.18</v>
          </cell>
          <cell r="F365" t="str">
            <v>eq.050</v>
          </cell>
        </row>
        <row r="366">
          <cell r="D366">
            <v>0</v>
          </cell>
          <cell r="F366" t="str">
            <v>eq.051</v>
          </cell>
        </row>
        <row r="367">
          <cell r="D367">
            <v>76858.28</v>
          </cell>
          <cell r="F367" t="str">
            <v>eq.052</v>
          </cell>
        </row>
        <row r="368">
          <cell r="D368">
            <v>0</v>
          </cell>
          <cell r="F368" t="str">
            <v>eq.053</v>
          </cell>
        </row>
        <row r="369">
          <cell r="D369">
            <v>30051.18</v>
          </cell>
          <cell r="F369" t="str">
            <v>eq.054</v>
          </cell>
        </row>
        <row r="370">
          <cell r="D370">
            <v>0</v>
          </cell>
          <cell r="F370" t="str">
            <v>eq.055</v>
          </cell>
        </row>
        <row r="371">
          <cell r="D371">
            <v>107618.55</v>
          </cell>
          <cell r="F371" t="str">
            <v>eq.058</v>
          </cell>
        </row>
        <row r="372">
          <cell r="D372">
            <v>226748.6879</v>
          </cell>
          <cell r="F372" t="str">
            <v>eq.058b</v>
          </cell>
        </row>
        <row r="373">
          <cell r="D373">
            <v>0</v>
          </cell>
          <cell r="F373" t="str">
            <v>eq.059</v>
          </cell>
        </row>
        <row r="374">
          <cell r="D374">
            <v>13134.31</v>
          </cell>
          <cell r="F374" t="str">
            <v>eq.060</v>
          </cell>
        </row>
        <row r="375">
          <cell r="D375">
            <v>9962.64</v>
          </cell>
          <cell r="F375" t="str">
            <v>eq.060b</v>
          </cell>
        </row>
        <row r="376">
          <cell r="D376">
            <v>0</v>
          </cell>
          <cell r="F376" t="str">
            <v>eq.061</v>
          </cell>
        </row>
        <row r="377">
          <cell r="D377">
            <v>8590</v>
          </cell>
          <cell r="F377" t="str">
            <v>eq.062</v>
          </cell>
        </row>
        <row r="378">
          <cell r="D378">
            <v>0</v>
          </cell>
          <cell r="F378" t="str">
            <v>eq.063</v>
          </cell>
        </row>
        <row r="379">
          <cell r="D379">
            <v>0</v>
          </cell>
          <cell r="F379" t="str">
            <v>eq.064</v>
          </cell>
        </row>
        <row r="380">
          <cell r="D380">
            <v>0</v>
          </cell>
          <cell r="F380" t="str">
            <v>eq.065</v>
          </cell>
        </row>
        <row r="381">
          <cell r="D381">
            <v>70940.3</v>
          </cell>
          <cell r="F381" t="str">
            <v>eq.066</v>
          </cell>
        </row>
        <row r="382">
          <cell r="D382">
            <v>57000</v>
          </cell>
          <cell r="F382" t="str">
            <v>eq.066b</v>
          </cell>
        </row>
        <row r="383">
          <cell r="D383">
            <v>0</v>
          </cell>
          <cell r="F383" t="str">
            <v>eq.067</v>
          </cell>
        </row>
        <row r="384">
          <cell r="D384">
            <v>0</v>
          </cell>
          <cell r="F384" t="str">
            <v>eq.068</v>
          </cell>
        </row>
        <row r="385">
          <cell r="D385">
            <v>0</v>
          </cell>
          <cell r="F385" t="str">
            <v>eq.068b</v>
          </cell>
        </row>
        <row r="386">
          <cell r="D386">
            <v>0</v>
          </cell>
          <cell r="F386" t="str">
            <v>eq.069</v>
          </cell>
        </row>
        <row r="387">
          <cell r="D387">
            <v>53686.14</v>
          </cell>
          <cell r="F387" t="str">
            <v>eq.070</v>
          </cell>
        </row>
        <row r="388">
          <cell r="D388">
            <v>72000</v>
          </cell>
          <cell r="F388" t="str">
            <v>eq.070b</v>
          </cell>
        </row>
        <row r="389">
          <cell r="D389">
            <v>0</v>
          </cell>
          <cell r="F389" t="str">
            <v>eq.071</v>
          </cell>
        </row>
        <row r="390">
          <cell r="D390">
            <v>106637.96</v>
          </cell>
          <cell r="F390" t="str">
            <v>eq.072</v>
          </cell>
        </row>
        <row r="391">
          <cell r="D391">
            <v>135600</v>
          </cell>
          <cell r="F391" t="str">
            <v>eq.072b</v>
          </cell>
        </row>
        <row r="392">
          <cell r="D392">
            <v>0</v>
          </cell>
          <cell r="F392" t="str">
            <v>eq.073</v>
          </cell>
        </row>
        <row r="393">
          <cell r="D393">
            <v>61219.87</v>
          </cell>
          <cell r="F393" t="str">
            <v>eq.074</v>
          </cell>
        </row>
        <row r="394">
          <cell r="D394">
            <v>86400</v>
          </cell>
          <cell r="F394" t="str">
            <v>eq.074b</v>
          </cell>
        </row>
        <row r="395">
          <cell r="D395">
            <v>0</v>
          </cell>
          <cell r="F395" t="str">
            <v>eq.075</v>
          </cell>
        </row>
        <row r="396">
          <cell r="D396">
            <v>445037.49</v>
          </cell>
          <cell r="F396" t="str">
            <v>eq.076</v>
          </cell>
        </row>
        <row r="397">
          <cell r="D397">
            <v>0</v>
          </cell>
          <cell r="F397" t="str">
            <v>eq.077</v>
          </cell>
        </row>
        <row r="398">
          <cell r="D398">
            <v>81737.5566</v>
          </cell>
          <cell r="F398" t="str">
            <v>eq.078</v>
          </cell>
        </row>
        <row r="399">
          <cell r="D399">
            <v>0</v>
          </cell>
          <cell r="F399" t="str">
            <v>eq.079</v>
          </cell>
        </row>
        <row r="400">
          <cell r="D400">
            <v>3.467</v>
          </cell>
          <cell r="F400" t="str">
            <v>eq.080</v>
          </cell>
        </row>
        <row r="401">
          <cell r="D401">
            <v>0</v>
          </cell>
          <cell r="F401" t="str">
            <v>eq.081</v>
          </cell>
        </row>
        <row r="402">
          <cell r="D402">
            <v>78833.0364</v>
          </cell>
          <cell r="F402" t="str">
            <v>eq.082</v>
          </cell>
        </row>
        <row r="403">
          <cell r="D403">
            <v>86599</v>
          </cell>
          <cell r="F403" t="str">
            <v>eq.082b</v>
          </cell>
        </row>
        <row r="404">
          <cell r="D404">
            <v>0</v>
          </cell>
          <cell r="F404" t="str">
            <v>eq.083</v>
          </cell>
        </row>
        <row r="405">
          <cell r="D405">
            <v>0</v>
          </cell>
          <cell r="F405" t="str">
            <v>eq.084</v>
          </cell>
        </row>
        <row r="406">
          <cell r="D406">
            <v>0</v>
          </cell>
          <cell r="F406" t="str">
            <v>eq.085</v>
          </cell>
        </row>
        <row r="407">
          <cell r="D407">
            <v>20161.73</v>
          </cell>
          <cell r="F407" t="str">
            <v>eq.086</v>
          </cell>
        </row>
        <row r="408">
          <cell r="D408">
            <v>0</v>
          </cell>
          <cell r="F408" t="str">
            <v>eq.087</v>
          </cell>
        </row>
        <row r="409">
          <cell r="D409">
            <v>2760259.2551</v>
          </cell>
          <cell r="F409" t="str">
            <v>eq.088</v>
          </cell>
        </row>
        <row r="410">
          <cell r="D410">
            <v>4712046</v>
          </cell>
          <cell r="F410" t="str">
            <v>eq.088b</v>
          </cell>
        </row>
        <row r="411">
          <cell r="D411">
            <v>0</v>
          </cell>
          <cell r="F411" t="str">
            <v>eq.089</v>
          </cell>
        </row>
        <row r="412">
          <cell r="D412">
            <v>81052.6316</v>
          </cell>
          <cell r="F412" t="str">
            <v>eq.090</v>
          </cell>
        </row>
        <row r="413">
          <cell r="D413">
            <v>90000</v>
          </cell>
          <cell r="F413" t="str">
            <v>eq.090b</v>
          </cell>
        </row>
        <row r="414">
          <cell r="D414">
            <v>148.67</v>
          </cell>
          <cell r="F414" t="str">
            <v>eq.100</v>
          </cell>
        </row>
        <row r="415">
          <cell r="D415">
            <v>974997.0712</v>
          </cell>
          <cell r="F415" t="str">
            <v>eq.102</v>
          </cell>
        </row>
        <row r="416">
          <cell r="D416">
            <v>1465980</v>
          </cell>
          <cell r="F416" t="str">
            <v>eq.102b</v>
          </cell>
        </row>
        <row r="417">
          <cell r="D417">
            <v>0</v>
          </cell>
          <cell r="F417" t="str">
            <v>eq.103</v>
          </cell>
        </row>
        <row r="418">
          <cell r="D418">
            <v>722639.07</v>
          </cell>
          <cell r="F418" t="str">
            <v>eq.104</v>
          </cell>
        </row>
        <row r="419">
          <cell r="D419">
            <v>189.28</v>
          </cell>
          <cell r="F419" t="str">
            <v>eq.105</v>
          </cell>
        </row>
        <row r="420">
          <cell r="D420">
            <v>247992.8959</v>
          </cell>
          <cell r="F420" t="str">
            <v>eq.106</v>
          </cell>
        </row>
        <row r="421">
          <cell r="D421">
            <v>282760.724</v>
          </cell>
          <cell r="F421" t="str">
            <v>eq.107</v>
          </cell>
        </row>
        <row r="422">
          <cell r="D422">
            <v>1355.0964</v>
          </cell>
          <cell r="F422" t="str">
            <v>eq.108</v>
          </cell>
        </row>
        <row r="423">
          <cell r="D423">
            <v>1584.8485</v>
          </cell>
          <cell r="F423" t="str">
            <v>eq.109</v>
          </cell>
        </row>
        <row r="424">
          <cell r="D424">
            <v>1808.2645</v>
          </cell>
          <cell r="F424" t="str">
            <v>eq.110</v>
          </cell>
        </row>
        <row r="425">
          <cell r="D425">
            <v>35000</v>
          </cell>
          <cell r="F425" t="str">
            <v>eq.111</v>
          </cell>
        </row>
        <row r="426">
          <cell r="D426">
            <v>35000</v>
          </cell>
          <cell r="F426" t="str">
            <v>eq.112</v>
          </cell>
        </row>
        <row r="427">
          <cell r="D427">
            <v>0</v>
          </cell>
          <cell r="F427" t="str">
            <v>eq.113</v>
          </cell>
        </row>
        <row r="428">
          <cell r="D428">
            <v>859451.31</v>
          </cell>
          <cell r="F428" t="str">
            <v>eq.116</v>
          </cell>
        </row>
        <row r="429">
          <cell r="D429">
            <v>0</v>
          </cell>
          <cell r="F429" t="str">
            <v>eq.117</v>
          </cell>
        </row>
        <row r="430">
          <cell r="D430">
            <v>0</v>
          </cell>
          <cell r="F430" t="str">
            <v>eq.118</v>
          </cell>
        </row>
        <row r="431">
          <cell r="D431">
            <v>0</v>
          </cell>
          <cell r="F431" t="str">
            <v>eq.119</v>
          </cell>
        </row>
        <row r="432">
          <cell r="D432">
            <v>1000</v>
          </cell>
          <cell r="F432" t="str">
            <v>eq.120</v>
          </cell>
        </row>
        <row r="433">
          <cell r="D433">
            <v>230</v>
          </cell>
          <cell r="F433" t="str">
            <v>eq.121</v>
          </cell>
        </row>
        <row r="434">
          <cell r="D434">
            <v>6900</v>
          </cell>
          <cell r="F434" t="str">
            <v>eq.122</v>
          </cell>
        </row>
        <row r="435">
          <cell r="D435">
            <v>185295.078</v>
          </cell>
          <cell r="F435" t="str">
            <v>eq.123</v>
          </cell>
        </row>
        <row r="436">
          <cell r="D436">
            <v>223627.163</v>
          </cell>
          <cell r="F436" t="str">
            <v>eq.124</v>
          </cell>
        </row>
        <row r="437">
          <cell r="D437">
            <v>195812.121</v>
          </cell>
          <cell r="F437" t="str">
            <v>eq.125</v>
          </cell>
        </row>
        <row r="438">
          <cell r="D438">
            <v>223.1405</v>
          </cell>
          <cell r="F438" t="str">
            <v>eq.200</v>
          </cell>
        </row>
        <row r="439">
          <cell r="D439">
            <v>3.112</v>
          </cell>
          <cell r="F439" t="str">
            <v>eq.201</v>
          </cell>
        </row>
        <row r="440">
          <cell r="D440">
            <v>3.374</v>
          </cell>
          <cell r="F440" t="str">
            <v>eq.300</v>
          </cell>
        </row>
        <row r="441">
          <cell r="D441">
            <v>520204.68</v>
          </cell>
          <cell r="F441" t="str">
            <v>eq.901</v>
          </cell>
        </row>
        <row r="442">
          <cell r="D442">
            <v>1436528.52</v>
          </cell>
          <cell r="F442" t="str">
            <v>eq.902</v>
          </cell>
        </row>
        <row r="443">
          <cell r="D443">
            <v>451400.85</v>
          </cell>
          <cell r="F443" t="str">
            <v>eq.976</v>
          </cell>
        </row>
        <row r="444">
          <cell r="D444">
            <v>18.85</v>
          </cell>
          <cell r="F444" t="str">
            <v>fi.023</v>
          </cell>
        </row>
        <row r="445">
          <cell r="D445">
            <v>3.9771</v>
          </cell>
          <cell r="F445" t="str">
            <v>fi.024</v>
          </cell>
        </row>
        <row r="446">
          <cell r="D446">
            <v>12.2</v>
          </cell>
          <cell r="F446" t="str">
            <v>fi.025</v>
          </cell>
        </row>
        <row r="447">
          <cell r="D447">
            <v>120</v>
          </cell>
          <cell r="F447" t="str">
            <v>fi.026</v>
          </cell>
        </row>
        <row r="448">
          <cell r="D448">
            <v>9.5</v>
          </cell>
          <cell r="F448" t="str">
            <v>fi.027</v>
          </cell>
        </row>
        <row r="449">
          <cell r="D449">
            <v>4064.0409</v>
          </cell>
          <cell r="F449" t="str">
            <v>fi.028</v>
          </cell>
        </row>
        <row r="450">
          <cell r="D450">
            <v>4064.0409</v>
          </cell>
          <cell r="F450" t="str">
            <v>fi.029</v>
          </cell>
        </row>
        <row r="451">
          <cell r="D451">
            <v>0</v>
          </cell>
          <cell r="F451" t="str">
            <v>fi.030</v>
          </cell>
        </row>
        <row r="452">
          <cell r="D452">
            <v>310</v>
          </cell>
          <cell r="F452" t="str">
            <v>fl.001</v>
          </cell>
        </row>
        <row r="453">
          <cell r="D453">
            <v>0</v>
          </cell>
          <cell r="F453" t="str">
            <v>fle.050</v>
          </cell>
        </row>
        <row r="454">
          <cell r="D454">
            <v>26.4463</v>
          </cell>
          <cell r="F454" t="str">
            <v>fo.010</v>
          </cell>
        </row>
        <row r="455">
          <cell r="D455">
            <v>5.5165</v>
          </cell>
          <cell r="F455" t="str">
            <v>fo.020</v>
          </cell>
        </row>
        <row r="456">
          <cell r="D456">
            <v>26.4463</v>
          </cell>
          <cell r="F456" t="str">
            <v>fo.030</v>
          </cell>
        </row>
        <row r="457">
          <cell r="D457">
            <v>34.9863</v>
          </cell>
          <cell r="F457" t="str">
            <v>fo.035</v>
          </cell>
        </row>
        <row r="458">
          <cell r="D458">
            <v>43.5262</v>
          </cell>
          <cell r="F458" t="str">
            <v>fo.040</v>
          </cell>
        </row>
        <row r="459">
          <cell r="D459">
            <v>113.9876</v>
          </cell>
          <cell r="F459" t="str">
            <v>ga.005</v>
          </cell>
        </row>
        <row r="460">
          <cell r="D460">
            <v>1.4959</v>
          </cell>
          <cell r="F460" t="str">
            <v>ga.006</v>
          </cell>
        </row>
        <row r="461">
          <cell r="D461">
            <v>2.9326</v>
          </cell>
          <cell r="F461" t="str">
            <v>ga.007</v>
          </cell>
        </row>
        <row r="462">
          <cell r="D462">
            <v>26.3513</v>
          </cell>
          <cell r="F462" t="str">
            <v>ga.008</v>
          </cell>
        </row>
        <row r="463">
          <cell r="D463">
            <v>9.7975</v>
          </cell>
          <cell r="F463" t="str">
            <v>ga.009</v>
          </cell>
        </row>
        <row r="464">
          <cell r="D464">
            <v>14.7272</v>
          </cell>
          <cell r="F464" t="str">
            <v>ga.010</v>
          </cell>
        </row>
        <row r="465">
          <cell r="D465">
            <v>19.719</v>
          </cell>
          <cell r="F465" t="str">
            <v>ga.011</v>
          </cell>
        </row>
        <row r="466">
          <cell r="D466">
            <v>52.8926</v>
          </cell>
          <cell r="F466" t="str">
            <v>ga.012</v>
          </cell>
        </row>
        <row r="467">
          <cell r="D467">
            <v>117.2884</v>
          </cell>
          <cell r="F467" t="str">
            <v>ga.020</v>
          </cell>
        </row>
        <row r="468">
          <cell r="D468">
            <v>768.2149</v>
          </cell>
          <cell r="F468" t="str">
            <v>ga.113</v>
          </cell>
        </row>
        <row r="469">
          <cell r="D469">
            <v>769.8199</v>
          </cell>
          <cell r="F469" t="str">
            <v>ga.114</v>
          </cell>
        </row>
        <row r="470">
          <cell r="D470">
            <v>911.3719</v>
          </cell>
          <cell r="F470" t="str">
            <v>ga.114b</v>
          </cell>
        </row>
        <row r="471">
          <cell r="D471">
            <v>404.673</v>
          </cell>
          <cell r="F471" t="str">
            <v>ga.116</v>
          </cell>
        </row>
        <row r="472">
          <cell r="D472">
            <v>682.843</v>
          </cell>
          <cell r="F472" t="str">
            <v>ga.116b</v>
          </cell>
        </row>
        <row r="473">
          <cell r="D473">
            <v>66.58</v>
          </cell>
          <cell r="F473" t="str">
            <v>ga.126</v>
          </cell>
        </row>
        <row r="474">
          <cell r="D474">
            <v>59.5868</v>
          </cell>
          <cell r="F474" t="str">
            <v>ga.126b</v>
          </cell>
        </row>
        <row r="475">
          <cell r="D475">
            <v>31.124</v>
          </cell>
          <cell r="F475" t="str">
            <v>ga.137</v>
          </cell>
        </row>
        <row r="476">
          <cell r="D476">
            <v>42.6777</v>
          </cell>
          <cell r="F476" t="str">
            <v>ga.138</v>
          </cell>
        </row>
        <row r="477">
          <cell r="D477">
            <v>24.8496</v>
          </cell>
          <cell r="F477" t="str">
            <v>ga.150</v>
          </cell>
        </row>
        <row r="478">
          <cell r="D478">
            <v>37.2004</v>
          </cell>
          <cell r="F478" t="str">
            <v>ga.151</v>
          </cell>
        </row>
        <row r="479">
          <cell r="D479">
            <v>11.0584</v>
          </cell>
          <cell r="F479" t="str">
            <v>ga.152</v>
          </cell>
        </row>
        <row r="480">
          <cell r="D480">
            <v>13.1069</v>
          </cell>
          <cell r="F480" t="str">
            <v>ga.153</v>
          </cell>
        </row>
        <row r="481">
          <cell r="D481">
            <v>19.1457</v>
          </cell>
          <cell r="F481" t="str">
            <v>ga.156</v>
          </cell>
        </row>
        <row r="482">
          <cell r="D482">
            <v>2.8264</v>
          </cell>
          <cell r="F482" t="str">
            <v>ga.159</v>
          </cell>
        </row>
        <row r="483">
          <cell r="D483">
            <v>3.7314</v>
          </cell>
          <cell r="F483" t="str">
            <v>ga.160</v>
          </cell>
        </row>
        <row r="484">
          <cell r="D484">
            <v>6.6405</v>
          </cell>
          <cell r="F484" t="str">
            <v>ga.161</v>
          </cell>
        </row>
        <row r="485">
          <cell r="D485">
            <v>34.9752</v>
          </cell>
          <cell r="F485" t="str">
            <v>ga.162</v>
          </cell>
        </row>
        <row r="486">
          <cell r="D486">
            <v>12.9256</v>
          </cell>
          <cell r="F486" t="str">
            <v>ga.163</v>
          </cell>
        </row>
        <row r="487">
          <cell r="D487">
            <v>3.9091</v>
          </cell>
          <cell r="F487" t="str">
            <v>ga.166</v>
          </cell>
        </row>
        <row r="488">
          <cell r="D488">
            <v>2.5785</v>
          </cell>
          <cell r="F488" t="str">
            <v>ga.167</v>
          </cell>
        </row>
        <row r="489">
          <cell r="D489">
            <v>4.4793</v>
          </cell>
          <cell r="F489" t="str">
            <v>ga.168</v>
          </cell>
        </row>
        <row r="490">
          <cell r="D490">
            <v>3.9091</v>
          </cell>
          <cell r="F490" t="str">
            <v>ga.169</v>
          </cell>
        </row>
        <row r="491">
          <cell r="D491">
            <v>5.2934</v>
          </cell>
          <cell r="F491" t="str">
            <v>ga.170</v>
          </cell>
        </row>
        <row r="492">
          <cell r="D492">
            <v>8.5165</v>
          </cell>
          <cell r="F492" t="str">
            <v>ga.171</v>
          </cell>
        </row>
        <row r="493">
          <cell r="D493">
            <v>22.7892</v>
          </cell>
          <cell r="F493" t="str">
            <v>ga.172</v>
          </cell>
        </row>
        <row r="494">
          <cell r="D494">
            <v>93.9711</v>
          </cell>
          <cell r="F494" t="str">
            <v>ga.173</v>
          </cell>
        </row>
        <row r="495">
          <cell r="D495">
            <v>1.8389</v>
          </cell>
          <cell r="F495" t="str">
            <v>ga.180</v>
          </cell>
        </row>
        <row r="496">
          <cell r="D496">
            <v>10.7149</v>
          </cell>
          <cell r="F496" t="str">
            <v>ga.190</v>
          </cell>
        </row>
        <row r="497">
          <cell r="D497">
            <v>9.1529</v>
          </cell>
          <cell r="F497" t="str">
            <v>ga.191</v>
          </cell>
        </row>
        <row r="498">
          <cell r="D498">
            <v>1.8678</v>
          </cell>
          <cell r="F498" t="str">
            <v>ga.195</v>
          </cell>
        </row>
        <row r="499">
          <cell r="D499">
            <v>2.1736</v>
          </cell>
          <cell r="F499" t="str">
            <v>ga.200</v>
          </cell>
        </row>
        <row r="500">
          <cell r="D500">
            <v>1.4958</v>
          </cell>
          <cell r="F500" t="str">
            <v>ga.201</v>
          </cell>
        </row>
        <row r="501">
          <cell r="D501">
            <v>2.7025</v>
          </cell>
          <cell r="F501" t="str">
            <v>ga.205</v>
          </cell>
        </row>
        <row r="502">
          <cell r="D502">
            <v>11.0826</v>
          </cell>
          <cell r="F502" t="str">
            <v>ga.206</v>
          </cell>
        </row>
        <row r="503">
          <cell r="D503">
            <v>17.5207</v>
          </cell>
          <cell r="F503" t="str">
            <v>ga.207</v>
          </cell>
        </row>
        <row r="504">
          <cell r="D504">
            <v>35.3884</v>
          </cell>
          <cell r="F504" t="str">
            <v>ga.208</v>
          </cell>
        </row>
        <row r="505">
          <cell r="D505">
            <v>0.5785</v>
          </cell>
          <cell r="F505" t="str">
            <v>ga.209</v>
          </cell>
        </row>
        <row r="506">
          <cell r="D506">
            <v>1.2397</v>
          </cell>
          <cell r="F506" t="str">
            <v>ga.210</v>
          </cell>
        </row>
        <row r="507">
          <cell r="D507">
            <v>17.0165</v>
          </cell>
          <cell r="F507" t="str">
            <v>ga.211</v>
          </cell>
        </row>
        <row r="508">
          <cell r="D508">
            <v>62.8182</v>
          </cell>
          <cell r="F508" t="str">
            <v>ga.212</v>
          </cell>
        </row>
        <row r="509">
          <cell r="D509">
            <v>66.6364</v>
          </cell>
          <cell r="F509" t="str">
            <v>ga.213</v>
          </cell>
        </row>
        <row r="510">
          <cell r="D510">
            <v>134.9587</v>
          </cell>
          <cell r="F510" t="str">
            <v>ga.214</v>
          </cell>
        </row>
        <row r="511">
          <cell r="D511">
            <v>4.2975</v>
          </cell>
          <cell r="F511" t="str">
            <v>ga.215</v>
          </cell>
        </row>
        <row r="512">
          <cell r="D512">
            <v>2.5124</v>
          </cell>
          <cell r="F512" t="str">
            <v>ga.216</v>
          </cell>
        </row>
        <row r="513">
          <cell r="D513">
            <v>11.5785</v>
          </cell>
          <cell r="F513" t="str">
            <v>ga.217</v>
          </cell>
        </row>
        <row r="514">
          <cell r="D514">
            <v>28.124</v>
          </cell>
          <cell r="F514" t="str">
            <v>gajo.161</v>
          </cell>
        </row>
        <row r="515">
          <cell r="D515">
            <v>1016.5289</v>
          </cell>
          <cell r="F515" t="str">
            <v>her.001</v>
          </cell>
        </row>
        <row r="516">
          <cell r="D516">
            <v>102.4793</v>
          </cell>
          <cell r="F516" t="str">
            <v>her.002</v>
          </cell>
        </row>
        <row r="517">
          <cell r="D517">
            <v>94.2149</v>
          </cell>
          <cell r="F517" t="str">
            <v>her.003</v>
          </cell>
        </row>
        <row r="518">
          <cell r="D518">
            <v>11.5702</v>
          </cell>
          <cell r="F518" t="str">
            <v>her.004</v>
          </cell>
        </row>
        <row r="519">
          <cell r="D519">
            <v>46.281</v>
          </cell>
          <cell r="F519" t="str">
            <v>her.005</v>
          </cell>
        </row>
        <row r="520">
          <cell r="D520">
            <v>4.1322</v>
          </cell>
          <cell r="F520" t="str">
            <v>her.006</v>
          </cell>
        </row>
        <row r="521">
          <cell r="D521">
            <v>28.9256</v>
          </cell>
          <cell r="F521" t="str">
            <v>her.007</v>
          </cell>
        </row>
        <row r="522">
          <cell r="D522">
            <v>5.7851</v>
          </cell>
          <cell r="F522" t="str">
            <v>her.008</v>
          </cell>
        </row>
        <row r="523">
          <cell r="D523">
            <v>192.562</v>
          </cell>
          <cell r="F523" t="str">
            <v>her.009</v>
          </cell>
        </row>
        <row r="524">
          <cell r="D524">
            <v>630.5785</v>
          </cell>
          <cell r="F524" t="str">
            <v>her.010</v>
          </cell>
        </row>
        <row r="525">
          <cell r="D525">
            <v>1056.1983</v>
          </cell>
          <cell r="F525" t="str">
            <v>her.011</v>
          </cell>
        </row>
        <row r="526">
          <cell r="D526">
            <v>29.7521</v>
          </cell>
          <cell r="F526" t="str">
            <v>her.012</v>
          </cell>
        </row>
        <row r="527">
          <cell r="D527">
            <v>67.7686</v>
          </cell>
          <cell r="F527" t="str">
            <v>her.013</v>
          </cell>
        </row>
        <row r="528">
          <cell r="D528">
            <v>550</v>
          </cell>
          <cell r="F528" t="str">
            <v>la.001</v>
          </cell>
        </row>
        <row r="529">
          <cell r="D529">
            <v>1.339</v>
          </cell>
          <cell r="F529" t="str">
            <v>la.002</v>
          </cell>
        </row>
        <row r="530">
          <cell r="D530">
            <v>430</v>
          </cell>
          <cell r="F530" t="str">
            <v>la.003</v>
          </cell>
        </row>
        <row r="531">
          <cell r="D531">
            <v>1.0197</v>
          </cell>
          <cell r="F531" t="str">
            <v>la.006</v>
          </cell>
        </row>
        <row r="532">
          <cell r="D532">
            <v>2.2454</v>
          </cell>
          <cell r="F532" t="str">
            <v>la.007</v>
          </cell>
        </row>
        <row r="533">
          <cell r="D533">
            <v>1.7922</v>
          </cell>
          <cell r="F533" t="str">
            <v>la.008</v>
          </cell>
        </row>
        <row r="534">
          <cell r="D534">
            <v>2.5956</v>
          </cell>
          <cell r="F534" t="str">
            <v>la.009</v>
          </cell>
        </row>
        <row r="535">
          <cell r="D535">
            <v>2.6883</v>
          </cell>
          <cell r="F535" t="str">
            <v>la.010</v>
          </cell>
        </row>
        <row r="536">
          <cell r="D536">
            <v>2.3999</v>
          </cell>
          <cell r="F536" t="str">
            <v>la.011</v>
          </cell>
        </row>
        <row r="537">
          <cell r="D537">
            <v>4.635</v>
          </cell>
          <cell r="F537" t="str">
            <v>la.012</v>
          </cell>
        </row>
        <row r="538">
          <cell r="D538">
            <v>750</v>
          </cell>
          <cell r="F538" t="str">
            <v>la.014</v>
          </cell>
        </row>
        <row r="539">
          <cell r="D539">
            <v>700</v>
          </cell>
          <cell r="F539" t="str">
            <v>la.020</v>
          </cell>
        </row>
        <row r="540">
          <cell r="D540">
            <v>800</v>
          </cell>
          <cell r="F540" t="str">
            <v>la.021</v>
          </cell>
        </row>
        <row r="541">
          <cell r="D541">
            <v>0</v>
          </cell>
          <cell r="F541" t="str">
            <v>la.022</v>
          </cell>
        </row>
        <row r="542">
          <cell r="D542">
            <v>600</v>
          </cell>
          <cell r="F542" t="str">
            <v>la.023</v>
          </cell>
        </row>
        <row r="543">
          <cell r="D543">
            <v>0.75</v>
          </cell>
          <cell r="F543" t="str">
            <v>li.001</v>
          </cell>
        </row>
        <row r="544">
          <cell r="D544">
            <v>0.8058</v>
          </cell>
          <cell r="F544" t="str">
            <v>li.001b</v>
          </cell>
        </row>
        <row r="545">
          <cell r="D545">
            <v>3.3</v>
          </cell>
          <cell r="F545" t="str">
            <v>li.002</v>
          </cell>
        </row>
        <row r="546">
          <cell r="D546">
            <v>3.3306</v>
          </cell>
          <cell r="F546" t="str">
            <v>li.002b</v>
          </cell>
        </row>
        <row r="547">
          <cell r="D547">
            <v>3.98</v>
          </cell>
          <cell r="F547" t="str">
            <v>li.003</v>
          </cell>
        </row>
        <row r="548">
          <cell r="D548">
            <v>3.3306</v>
          </cell>
          <cell r="F548" t="str">
            <v>li.003b</v>
          </cell>
        </row>
        <row r="549">
          <cell r="D549">
            <v>0.5035</v>
          </cell>
          <cell r="F549" t="str">
            <v>li.004</v>
          </cell>
        </row>
        <row r="550">
          <cell r="D550">
            <v>0.5293</v>
          </cell>
          <cell r="F550" t="str">
            <v>li.004b</v>
          </cell>
        </row>
        <row r="551">
          <cell r="D551">
            <v>65</v>
          </cell>
          <cell r="F551" t="str">
            <v>li.005</v>
          </cell>
        </row>
        <row r="552">
          <cell r="D552">
            <v>0.4787</v>
          </cell>
          <cell r="F552" t="str">
            <v>li.006</v>
          </cell>
        </row>
        <row r="553">
          <cell r="D553">
            <v>0.5421</v>
          </cell>
          <cell r="F553" t="str">
            <v>li.006b</v>
          </cell>
        </row>
        <row r="554">
          <cell r="D554">
            <v>503.5</v>
          </cell>
          <cell r="F554" t="str">
            <v>li.007</v>
          </cell>
        </row>
        <row r="555">
          <cell r="D555">
            <v>1.0964</v>
          </cell>
          <cell r="F555" t="str">
            <v>li.009</v>
          </cell>
        </row>
        <row r="556">
          <cell r="D556">
            <v>12.5031</v>
          </cell>
          <cell r="F556" t="str">
            <v>li.010</v>
          </cell>
        </row>
        <row r="557">
          <cell r="D557">
            <v>13.5372</v>
          </cell>
          <cell r="F557" t="str">
            <v>li.010b</v>
          </cell>
        </row>
        <row r="558">
          <cell r="D558">
            <v>26.4463</v>
          </cell>
          <cell r="F558" t="str">
            <v>li.015</v>
          </cell>
        </row>
        <row r="559">
          <cell r="D559">
            <v>2.8099</v>
          </cell>
          <cell r="F559" t="str">
            <v>li.100</v>
          </cell>
        </row>
        <row r="560">
          <cell r="D560">
            <v>40.2195</v>
          </cell>
          <cell r="F560" t="str">
            <v>ma.001</v>
          </cell>
        </row>
        <row r="561">
          <cell r="D561">
            <v>7.716</v>
          </cell>
          <cell r="F561" t="str">
            <v>ma.002</v>
          </cell>
        </row>
        <row r="562">
          <cell r="D562">
            <v>40.36</v>
          </cell>
          <cell r="F562" t="str">
            <v>ma.003</v>
          </cell>
        </row>
        <row r="563">
          <cell r="D563">
            <v>29.777</v>
          </cell>
          <cell r="F563" t="str">
            <v>ma.004</v>
          </cell>
        </row>
        <row r="564">
          <cell r="D564">
            <v>0</v>
          </cell>
          <cell r="F564" t="str">
            <v>ma.005</v>
          </cell>
        </row>
        <row r="565">
          <cell r="D565">
            <v>33.735</v>
          </cell>
          <cell r="F565" t="str">
            <v>ma.006</v>
          </cell>
        </row>
        <row r="566">
          <cell r="D566">
            <v>20.663</v>
          </cell>
          <cell r="F566" t="str">
            <v>ma.007</v>
          </cell>
        </row>
        <row r="567">
          <cell r="D567">
            <v>3.43</v>
          </cell>
          <cell r="F567" t="str">
            <v>ma.008</v>
          </cell>
        </row>
        <row r="568">
          <cell r="D568">
            <v>19.3255</v>
          </cell>
          <cell r="F568" t="str">
            <v>ma.010</v>
          </cell>
        </row>
        <row r="569">
          <cell r="D569">
            <v>55.2465</v>
          </cell>
          <cell r="F569" t="str">
            <v>ma.011</v>
          </cell>
        </row>
        <row r="570">
          <cell r="D570">
            <v>60.966</v>
          </cell>
          <cell r="F570" t="str">
            <v>ma.012</v>
          </cell>
        </row>
        <row r="571">
          <cell r="D571">
            <v>1.82</v>
          </cell>
          <cell r="F571" t="str">
            <v>ma.015</v>
          </cell>
        </row>
        <row r="572">
          <cell r="D572">
            <v>8.6</v>
          </cell>
          <cell r="F572" t="str">
            <v>ma.016</v>
          </cell>
        </row>
        <row r="573">
          <cell r="D573">
            <v>99.9</v>
          </cell>
          <cell r="F573" t="str">
            <v>ma.017</v>
          </cell>
        </row>
        <row r="574">
          <cell r="D574">
            <v>19.09</v>
          </cell>
          <cell r="F574" t="str">
            <v>ma.018</v>
          </cell>
        </row>
        <row r="575">
          <cell r="D575">
            <v>6.3695</v>
          </cell>
          <cell r="F575" t="str">
            <v>ma.020</v>
          </cell>
        </row>
        <row r="576">
          <cell r="D576">
            <v>66.1157</v>
          </cell>
          <cell r="F576" t="str">
            <v>ma.021</v>
          </cell>
        </row>
        <row r="577">
          <cell r="D577">
            <v>35.124</v>
          </cell>
          <cell r="F577" t="str">
            <v>ma.022</v>
          </cell>
        </row>
        <row r="578">
          <cell r="D578">
            <v>2.686</v>
          </cell>
          <cell r="F578" t="str">
            <v>ma.023</v>
          </cell>
        </row>
        <row r="579">
          <cell r="D579">
            <v>2.2727</v>
          </cell>
          <cell r="F579" t="str">
            <v>ma.024</v>
          </cell>
        </row>
        <row r="580">
          <cell r="D580">
            <v>1972.4</v>
          </cell>
          <cell r="F580" t="str">
            <v>ma.025</v>
          </cell>
        </row>
        <row r="581">
          <cell r="D581">
            <v>1331.55</v>
          </cell>
          <cell r="F581" t="str">
            <v>ma.025b</v>
          </cell>
        </row>
        <row r="582">
          <cell r="D582">
            <v>78.243</v>
          </cell>
          <cell r="F582" t="str">
            <v>ma.026</v>
          </cell>
        </row>
        <row r="583">
          <cell r="D583">
            <v>231.405</v>
          </cell>
          <cell r="F583" t="str">
            <v>ma.050</v>
          </cell>
        </row>
        <row r="584">
          <cell r="D584">
            <v>140.4959</v>
          </cell>
          <cell r="F584" t="str">
            <v>ma.051</v>
          </cell>
        </row>
        <row r="585">
          <cell r="D585">
            <v>46.369</v>
          </cell>
          <cell r="F585" t="str">
            <v>ma.052</v>
          </cell>
        </row>
        <row r="586">
          <cell r="D586">
            <v>14.0496</v>
          </cell>
          <cell r="F586" t="str">
            <v>ma.052b</v>
          </cell>
        </row>
        <row r="587">
          <cell r="D587">
            <v>0.9917</v>
          </cell>
          <cell r="F587" t="str">
            <v>ma.053</v>
          </cell>
        </row>
        <row r="588">
          <cell r="D588">
            <v>27.8</v>
          </cell>
          <cell r="F588" t="str">
            <v>mo.001</v>
          </cell>
        </row>
        <row r="589">
          <cell r="D589">
            <v>23.78</v>
          </cell>
          <cell r="F589" t="str">
            <v>mo.002</v>
          </cell>
        </row>
        <row r="590">
          <cell r="D590">
            <v>21.92</v>
          </cell>
          <cell r="F590" t="str">
            <v>mo.003</v>
          </cell>
        </row>
        <row r="591">
          <cell r="D591">
            <v>20.22</v>
          </cell>
          <cell r="F591" t="str">
            <v>mo.004</v>
          </cell>
        </row>
        <row r="592">
          <cell r="D592">
            <v>23.93</v>
          </cell>
          <cell r="F592" t="str">
            <v>mo.005</v>
          </cell>
        </row>
        <row r="593">
          <cell r="D593">
            <v>21.86</v>
          </cell>
          <cell r="F593" t="str">
            <v>mo.006</v>
          </cell>
        </row>
        <row r="594">
          <cell r="D594">
            <v>25.29</v>
          </cell>
          <cell r="F594" t="str">
            <v>mo.007</v>
          </cell>
        </row>
        <row r="595">
          <cell r="D595">
            <v>27.8</v>
          </cell>
          <cell r="F595" t="str">
            <v>mo.008</v>
          </cell>
        </row>
        <row r="596">
          <cell r="D596">
            <v>5029.5949</v>
          </cell>
          <cell r="F596" t="str">
            <v>pb.010</v>
          </cell>
        </row>
        <row r="597">
          <cell r="D597">
            <v>5150.8099</v>
          </cell>
          <cell r="F597" t="str">
            <v>pb.010b</v>
          </cell>
        </row>
        <row r="598">
          <cell r="D598">
            <v>6183.1131</v>
          </cell>
          <cell r="F598" t="str">
            <v>pb.020</v>
          </cell>
        </row>
        <row r="599">
          <cell r="D599">
            <v>2356.595</v>
          </cell>
          <cell r="F599" t="str">
            <v>pb.030</v>
          </cell>
        </row>
        <row r="600">
          <cell r="D600">
            <v>970.876</v>
          </cell>
          <cell r="F600" t="str">
            <v>pb.040</v>
          </cell>
        </row>
        <row r="601">
          <cell r="D601">
            <v>70.1983</v>
          </cell>
          <cell r="F601" t="str">
            <v>pb.050</v>
          </cell>
        </row>
        <row r="602">
          <cell r="D602">
            <v>185.9078</v>
          </cell>
          <cell r="F602" t="str">
            <v>pb.060</v>
          </cell>
        </row>
        <row r="603">
          <cell r="D603">
            <v>7457.465</v>
          </cell>
          <cell r="F603" t="str">
            <v>pb.070</v>
          </cell>
        </row>
        <row r="604">
          <cell r="D604">
            <v>3854.9256</v>
          </cell>
          <cell r="F604" t="str">
            <v>pb.080</v>
          </cell>
        </row>
        <row r="605">
          <cell r="D605">
            <v>5428.2066</v>
          </cell>
          <cell r="F605" t="str">
            <v>pb.090</v>
          </cell>
        </row>
        <row r="606">
          <cell r="D606">
            <v>932.63</v>
          </cell>
          <cell r="F606" t="str">
            <v>pb.100</v>
          </cell>
        </row>
        <row r="607">
          <cell r="D607">
            <v>1226.14</v>
          </cell>
          <cell r="F607" t="str">
            <v>pb.101</v>
          </cell>
        </row>
        <row r="608">
          <cell r="D608">
            <v>1358.58</v>
          </cell>
          <cell r="F608" t="str">
            <v>pb.102</v>
          </cell>
        </row>
        <row r="609">
          <cell r="D609">
            <v>501.9669</v>
          </cell>
          <cell r="F609" t="str">
            <v>pb.140</v>
          </cell>
        </row>
        <row r="610">
          <cell r="D610">
            <v>7.7281</v>
          </cell>
          <cell r="F610" t="str">
            <v>pi.002</v>
          </cell>
        </row>
        <row r="611">
          <cell r="D611">
            <v>7.7879</v>
          </cell>
          <cell r="F611" t="str">
            <v>pi.003</v>
          </cell>
        </row>
        <row r="612">
          <cell r="D612">
            <v>29.3196</v>
          </cell>
          <cell r="F612" t="str">
            <v>pi.004</v>
          </cell>
        </row>
        <row r="613">
          <cell r="D613">
            <v>96.0827</v>
          </cell>
          <cell r="F613" t="str">
            <v>pi.005</v>
          </cell>
        </row>
        <row r="614">
          <cell r="D614">
            <v>26.2534</v>
          </cell>
          <cell r="F614" t="str">
            <v>pi.006</v>
          </cell>
        </row>
        <row r="615">
          <cell r="D615">
            <v>117.2369</v>
          </cell>
          <cell r="F615" t="str">
            <v>pi.010</v>
          </cell>
        </row>
        <row r="616">
          <cell r="D616">
            <v>107.5207</v>
          </cell>
          <cell r="F616" t="str">
            <v>pi.011</v>
          </cell>
        </row>
        <row r="617">
          <cell r="D617">
            <v>64.8264</v>
          </cell>
          <cell r="F617" t="str">
            <v>pi.012</v>
          </cell>
        </row>
        <row r="618">
          <cell r="D618">
            <v>18.1653</v>
          </cell>
          <cell r="F618" t="str">
            <v>pi.015</v>
          </cell>
        </row>
        <row r="619">
          <cell r="D619">
            <v>6.022</v>
          </cell>
          <cell r="F619" t="str">
            <v>pi.016</v>
          </cell>
        </row>
        <row r="620">
          <cell r="D620">
            <v>24.1415</v>
          </cell>
          <cell r="F620" t="str">
            <v>pi.017</v>
          </cell>
        </row>
        <row r="621">
          <cell r="D621">
            <v>277.7493</v>
          </cell>
          <cell r="F621" t="str">
            <v>pi.018</v>
          </cell>
        </row>
        <row r="622">
          <cell r="D622">
            <v>9.843</v>
          </cell>
          <cell r="F622" t="str">
            <v>pi.019</v>
          </cell>
        </row>
        <row r="623">
          <cell r="D623">
            <v>10.9972</v>
          </cell>
          <cell r="F623" t="str">
            <v>pi.020</v>
          </cell>
        </row>
        <row r="624">
          <cell r="D624">
            <v>3.713</v>
          </cell>
          <cell r="F624" t="str">
            <v>pi.022</v>
          </cell>
        </row>
        <row r="625">
          <cell r="D625">
            <v>18.4373</v>
          </cell>
          <cell r="F625" t="str">
            <v>pi.025</v>
          </cell>
        </row>
        <row r="626">
          <cell r="D626">
            <v>10.3281</v>
          </cell>
          <cell r="F626" t="str">
            <v>pi.030</v>
          </cell>
        </row>
        <row r="627">
          <cell r="D627">
            <v>20.8995</v>
          </cell>
          <cell r="F627" t="str">
            <v>pi.031</v>
          </cell>
        </row>
        <row r="628">
          <cell r="D628">
            <v>8.2865</v>
          </cell>
          <cell r="F628" t="str">
            <v>pi.032</v>
          </cell>
        </row>
        <row r="629">
          <cell r="D629">
            <v>0.9201</v>
          </cell>
          <cell r="F629" t="str">
            <v>pi.033</v>
          </cell>
        </row>
        <row r="630">
          <cell r="D630">
            <v>22.2624</v>
          </cell>
          <cell r="F630" t="str">
            <v>pi.034</v>
          </cell>
        </row>
        <row r="631">
          <cell r="D631">
            <v>5.9421</v>
          </cell>
          <cell r="F631" t="str">
            <v>pi.035</v>
          </cell>
        </row>
        <row r="632">
          <cell r="D632">
            <v>0</v>
          </cell>
          <cell r="F632" t="str">
            <v>pi.036</v>
          </cell>
        </row>
        <row r="633">
          <cell r="D633">
            <v>15.8347</v>
          </cell>
          <cell r="F633" t="str">
            <v>pi.037</v>
          </cell>
        </row>
        <row r="634">
          <cell r="D634">
            <v>48.7603</v>
          </cell>
          <cell r="F634" t="str">
            <v>pi.038</v>
          </cell>
        </row>
        <row r="635">
          <cell r="D635">
            <v>20.8017</v>
          </cell>
          <cell r="F635" t="str">
            <v>pi.039</v>
          </cell>
        </row>
        <row r="636">
          <cell r="D636">
            <v>16.2314</v>
          </cell>
          <cell r="F636" t="str">
            <v>pi.040</v>
          </cell>
        </row>
        <row r="637">
          <cell r="D637">
            <v>29.75</v>
          </cell>
          <cell r="F637" t="str">
            <v>pi.041</v>
          </cell>
        </row>
        <row r="638">
          <cell r="D638">
            <v>260.281</v>
          </cell>
          <cell r="F638" t="str">
            <v>pi.042</v>
          </cell>
        </row>
        <row r="639">
          <cell r="D639">
            <v>118.7438</v>
          </cell>
          <cell r="F639" t="str">
            <v>pi.043</v>
          </cell>
        </row>
        <row r="640">
          <cell r="D640">
            <v>92.9201</v>
          </cell>
          <cell r="F640" t="str">
            <v>pi.044</v>
          </cell>
        </row>
        <row r="641">
          <cell r="D641">
            <v>31.157</v>
          </cell>
          <cell r="F641" t="str">
            <v>pl.001</v>
          </cell>
        </row>
        <row r="642">
          <cell r="D642">
            <v>32.8099</v>
          </cell>
          <cell r="F642" t="str">
            <v>pl.002</v>
          </cell>
        </row>
        <row r="643">
          <cell r="D643">
            <v>0</v>
          </cell>
          <cell r="F643" t="str">
            <v>pl.003</v>
          </cell>
        </row>
        <row r="644">
          <cell r="D644">
            <v>0</v>
          </cell>
          <cell r="F644" t="str">
            <v>pl.004</v>
          </cell>
        </row>
        <row r="645">
          <cell r="D645">
            <v>0</v>
          </cell>
          <cell r="F645" t="str">
            <v>pl.005</v>
          </cell>
        </row>
        <row r="646">
          <cell r="D646">
            <v>0</v>
          </cell>
          <cell r="F646" t="str">
            <v>pla.001</v>
          </cell>
        </row>
        <row r="647">
          <cell r="D647">
            <v>57.2153</v>
          </cell>
          <cell r="F647" t="str">
            <v>pre.010</v>
          </cell>
        </row>
        <row r="648">
          <cell r="D648">
            <v>92.5868</v>
          </cell>
          <cell r="F648" t="str">
            <v>pre.030</v>
          </cell>
        </row>
        <row r="649">
          <cell r="D649">
            <v>66.93</v>
          </cell>
          <cell r="F649" t="str">
            <v>pre.040</v>
          </cell>
        </row>
        <row r="650">
          <cell r="D650">
            <v>104.8017</v>
          </cell>
          <cell r="F650" t="str">
            <v>pre.040b</v>
          </cell>
        </row>
        <row r="651">
          <cell r="D651">
            <v>261.61</v>
          </cell>
          <cell r="F651" t="str">
            <v>pre.050</v>
          </cell>
        </row>
        <row r="652">
          <cell r="D652">
            <v>301.9917</v>
          </cell>
          <cell r="F652" t="str">
            <v>pre.050b</v>
          </cell>
        </row>
        <row r="653">
          <cell r="D653">
            <v>272.109</v>
          </cell>
          <cell r="F653" t="str">
            <v>pre.055</v>
          </cell>
        </row>
        <row r="654">
          <cell r="D654">
            <v>553.719</v>
          </cell>
          <cell r="F654" t="str">
            <v>pre.100</v>
          </cell>
        </row>
        <row r="655">
          <cell r="D655">
            <v>2.1074</v>
          </cell>
          <cell r="F655" t="str">
            <v>ra.016</v>
          </cell>
        </row>
        <row r="656">
          <cell r="D656">
            <v>14.0413</v>
          </cell>
          <cell r="F656" t="str">
            <v>ra.020</v>
          </cell>
        </row>
        <row r="657">
          <cell r="D657">
            <v>23.5372</v>
          </cell>
          <cell r="F657" t="str">
            <v>ra.024</v>
          </cell>
        </row>
        <row r="658">
          <cell r="D658">
            <v>33.6033</v>
          </cell>
          <cell r="F658" t="str">
            <v>ra.025</v>
          </cell>
        </row>
        <row r="659">
          <cell r="D659">
            <v>49.7603</v>
          </cell>
          <cell r="F659" t="str">
            <v>ra.026</v>
          </cell>
        </row>
        <row r="660">
          <cell r="D660">
            <v>57.0165</v>
          </cell>
          <cell r="F660" t="str">
            <v>ra.027</v>
          </cell>
        </row>
        <row r="661">
          <cell r="D661">
            <v>30.2066</v>
          </cell>
          <cell r="F661" t="str">
            <v>ra.028</v>
          </cell>
        </row>
        <row r="662">
          <cell r="D662">
            <v>74.0909</v>
          </cell>
          <cell r="F662" t="str">
            <v>ra.029</v>
          </cell>
        </row>
        <row r="663">
          <cell r="D663">
            <v>55.0496</v>
          </cell>
          <cell r="F663" t="str">
            <v>ra.030</v>
          </cell>
        </row>
        <row r="664">
          <cell r="D664">
            <v>94.8182</v>
          </cell>
          <cell r="F664" t="str">
            <v>ra.032</v>
          </cell>
        </row>
        <row r="665">
          <cell r="D665">
            <v>640.4959</v>
          </cell>
          <cell r="F665" t="str">
            <v>ra.034</v>
          </cell>
        </row>
        <row r="666">
          <cell r="D666">
            <v>56.4421</v>
          </cell>
          <cell r="F666" t="str">
            <v>ra.036</v>
          </cell>
        </row>
        <row r="667">
          <cell r="D667">
            <v>67.0744</v>
          </cell>
          <cell r="F667" t="str">
            <v>ra.037</v>
          </cell>
        </row>
        <row r="668">
          <cell r="D668">
            <v>318.2645</v>
          </cell>
          <cell r="F668" t="str">
            <v>ra.100</v>
          </cell>
        </row>
        <row r="669">
          <cell r="D669">
            <v>367.1405</v>
          </cell>
          <cell r="F669" t="str">
            <v>ra.101</v>
          </cell>
        </row>
        <row r="670">
          <cell r="D670">
            <v>585.1736</v>
          </cell>
          <cell r="F670" t="str">
            <v>ra.102</v>
          </cell>
        </row>
        <row r="671">
          <cell r="D671">
            <v>718.1322</v>
          </cell>
          <cell r="F671" t="str">
            <v>ra.103</v>
          </cell>
        </row>
        <row r="672">
          <cell r="D672">
            <v>885.6529</v>
          </cell>
          <cell r="F672" t="str">
            <v>ra.104</v>
          </cell>
        </row>
        <row r="673">
          <cell r="D673">
            <v>1274.5785</v>
          </cell>
          <cell r="F673" t="str">
            <v>ra.105</v>
          </cell>
        </row>
        <row r="674">
          <cell r="D674">
            <v>747.9339</v>
          </cell>
          <cell r="F674" t="str">
            <v>rc.010</v>
          </cell>
        </row>
        <row r="675">
          <cell r="D675">
            <v>73.99</v>
          </cell>
          <cell r="F675" t="str">
            <v>rc.020</v>
          </cell>
        </row>
        <row r="676">
          <cell r="D676">
            <v>54.5238</v>
          </cell>
          <cell r="F676" t="str">
            <v>rc.020b</v>
          </cell>
        </row>
        <row r="677">
          <cell r="D677">
            <v>1271.92</v>
          </cell>
          <cell r="F677" t="str">
            <v>re.005</v>
          </cell>
        </row>
        <row r="678">
          <cell r="D678">
            <v>1243.79</v>
          </cell>
          <cell r="F678" t="str">
            <v>re.010</v>
          </cell>
        </row>
        <row r="679">
          <cell r="D679">
            <v>6371</v>
          </cell>
          <cell r="F679" t="str">
            <v>re.015</v>
          </cell>
        </row>
        <row r="680">
          <cell r="D680">
            <v>5537.53</v>
          </cell>
          <cell r="F680" t="str">
            <v>re.020</v>
          </cell>
        </row>
        <row r="681">
          <cell r="D681">
            <v>0</v>
          </cell>
          <cell r="F681" t="str">
            <v>re.025</v>
          </cell>
        </row>
        <row r="682">
          <cell r="D682">
            <v>305</v>
          </cell>
          <cell r="F682" t="str">
            <v>re.025b</v>
          </cell>
        </row>
        <row r="683">
          <cell r="D683">
            <v>186</v>
          </cell>
          <cell r="F683" t="str">
            <v>re.026</v>
          </cell>
        </row>
        <row r="684">
          <cell r="D684">
            <v>490.91</v>
          </cell>
          <cell r="F684" t="str">
            <v>re.030</v>
          </cell>
        </row>
        <row r="685">
          <cell r="D685">
            <v>258.7785</v>
          </cell>
          <cell r="F685" t="str">
            <v>re.030b</v>
          </cell>
        </row>
        <row r="686">
          <cell r="D686">
            <v>35.15</v>
          </cell>
          <cell r="F686" t="str">
            <v>re.035</v>
          </cell>
        </row>
        <row r="687">
          <cell r="D687">
            <v>28.602</v>
          </cell>
          <cell r="F687" t="str">
            <v>re.035b</v>
          </cell>
        </row>
        <row r="688">
          <cell r="D688">
            <v>11.59</v>
          </cell>
          <cell r="F688" t="str">
            <v>re.040</v>
          </cell>
        </row>
        <row r="689">
          <cell r="D689">
            <v>8.8372</v>
          </cell>
          <cell r="F689" t="str">
            <v>re.040b</v>
          </cell>
        </row>
        <row r="690">
          <cell r="D690">
            <v>4.37</v>
          </cell>
          <cell r="F690" t="str">
            <v>re.043</v>
          </cell>
        </row>
        <row r="691">
          <cell r="D691">
            <v>4.1864</v>
          </cell>
          <cell r="F691" t="str">
            <v>re.043b</v>
          </cell>
        </row>
        <row r="692">
          <cell r="D692">
            <v>37.33</v>
          </cell>
          <cell r="F692" t="str">
            <v>re.045</v>
          </cell>
        </row>
        <row r="693">
          <cell r="D693">
            <v>31.457</v>
          </cell>
          <cell r="F693" t="str">
            <v>re.045b</v>
          </cell>
        </row>
        <row r="694">
          <cell r="D694">
            <v>14.84</v>
          </cell>
          <cell r="F694" t="str">
            <v>re.050</v>
          </cell>
        </row>
        <row r="695">
          <cell r="D695">
            <v>20.2343</v>
          </cell>
          <cell r="F695" t="str">
            <v>re.050b</v>
          </cell>
        </row>
        <row r="696">
          <cell r="D696">
            <v>34.15</v>
          </cell>
          <cell r="F696" t="str">
            <v>re.055</v>
          </cell>
        </row>
        <row r="697">
          <cell r="D697">
            <v>26.5289</v>
          </cell>
          <cell r="F697" t="str">
            <v>re.055b</v>
          </cell>
        </row>
        <row r="698">
          <cell r="D698">
            <v>39073.4216</v>
          </cell>
          <cell r="F698" t="str">
            <v>re.060</v>
          </cell>
        </row>
        <row r="699">
          <cell r="D699">
            <v>710.75</v>
          </cell>
          <cell r="F699" t="str">
            <v>re.065</v>
          </cell>
        </row>
        <row r="700">
          <cell r="D700">
            <v>98.626</v>
          </cell>
          <cell r="F700" t="str">
            <v>re.070</v>
          </cell>
        </row>
        <row r="701">
          <cell r="D701">
            <v>78.6281</v>
          </cell>
          <cell r="F701" t="str">
            <v>re.070b</v>
          </cell>
        </row>
        <row r="702">
          <cell r="D702">
            <v>294.27</v>
          </cell>
          <cell r="F702" t="str">
            <v>re.075</v>
          </cell>
        </row>
        <row r="703">
          <cell r="D703">
            <v>359.1975</v>
          </cell>
          <cell r="F703" t="str">
            <v>re.075b</v>
          </cell>
        </row>
        <row r="704">
          <cell r="D704">
            <v>54.3</v>
          </cell>
          <cell r="F704" t="str">
            <v>re.080</v>
          </cell>
        </row>
        <row r="705">
          <cell r="D705">
            <v>53.0942</v>
          </cell>
          <cell r="F705" t="str">
            <v>re.080b</v>
          </cell>
        </row>
        <row r="706">
          <cell r="D706">
            <v>159.569</v>
          </cell>
          <cell r="F706" t="str">
            <v>re.085</v>
          </cell>
        </row>
        <row r="707">
          <cell r="D707">
            <v>809.996</v>
          </cell>
          <cell r="F707" t="str">
            <v>re.090</v>
          </cell>
        </row>
        <row r="708">
          <cell r="D708">
            <v>702.4793</v>
          </cell>
          <cell r="F708" t="str">
            <v>re.090b</v>
          </cell>
        </row>
        <row r="709">
          <cell r="D709">
            <v>716.03</v>
          </cell>
          <cell r="F709" t="str">
            <v>re.095</v>
          </cell>
        </row>
        <row r="710">
          <cell r="D710">
            <v>817.8851</v>
          </cell>
          <cell r="F710" t="str">
            <v>re.095b</v>
          </cell>
        </row>
        <row r="711">
          <cell r="D711">
            <v>474.8</v>
          </cell>
          <cell r="F711" t="str">
            <v>re.100</v>
          </cell>
        </row>
        <row r="712">
          <cell r="D712">
            <v>338.843</v>
          </cell>
          <cell r="F712" t="str">
            <v>re.100b</v>
          </cell>
        </row>
        <row r="713">
          <cell r="D713">
            <v>364.03</v>
          </cell>
          <cell r="F713" t="str">
            <v>re.105</v>
          </cell>
        </row>
        <row r="714">
          <cell r="D714">
            <v>363.6364</v>
          </cell>
          <cell r="F714" t="str">
            <v>re.105b</v>
          </cell>
        </row>
        <row r="715">
          <cell r="D715">
            <v>17.4</v>
          </cell>
          <cell r="F715" t="str">
            <v>re.110</v>
          </cell>
        </row>
        <row r="716">
          <cell r="D716">
            <v>0</v>
          </cell>
          <cell r="F716" t="str">
            <v>re.110b</v>
          </cell>
        </row>
        <row r="717">
          <cell r="D717">
            <v>29.74</v>
          </cell>
          <cell r="F717" t="str">
            <v>re.115</v>
          </cell>
        </row>
        <row r="718">
          <cell r="D718">
            <v>35.4942</v>
          </cell>
          <cell r="F718" t="str">
            <v>re.115b</v>
          </cell>
        </row>
        <row r="719">
          <cell r="D719">
            <v>30.2066</v>
          </cell>
          <cell r="F719" t="str">
            <v>rg.004</v>
          </cell>
        </row>
        <row r="720">
          <cell r="D720">
            <v>30.2066</v>
          </cell>
          <cell r="F720" t="str">
            <v>rg.006</v>
          </cell>
        </row>
        <row r="721">
          <cell r="D721">
            <v>2.9504</v>
          </cell>
          <cell r="F721" t="str">
            <v>rg.008</v>
          </cell>
        </row>
        <row r="722">
          <cell r="D722">
            <v>11.3719</v>
          </cell>
          <cell r="F722" t="str">
            <v>rg.018</v>
          </cell>
        </row>
        <row r="723">
          <cell r="D723">
            <v>18.0083</v>
          </cell>
          <cell r="F723" t="str">
            <v>rg.020</v>
          </cell>
        </row>
        <row r="724">
          <cell r="D724">
            <v>0</v>
          </cell>
          <cell r="F724" t="str">
            <v>rg.024</v>
          </cell>
        </row>
        <row r="725">
          <cell r="D725">
            <v>146.5345</v>
          </cell>
          <cell r="F725" t="str">
            <v>rg.026</v>
          </cell>
        </row>
        <row r="726">
          <cell r="D726">
            <v>94.8182</v>
          </cell>
          <cell r="F726" t="str">
            <v>rg.026b</v>
          </cell>
        </row>
        <row r="727">
          <cell r="D727">
            <v>63.5702</v>
          </cell>
          <cell r="F727" t="str">
            <v>rg.028</v>
          </cell>
        </row>
        <row r="728">
          <cell r="D728">
            <v>63.5702</v>
          </cell>
          <cell r="F728" t="str">
            <v>rg.030</v>
          </cell>
        </row>
        <row r="729">
          <cell r="D729">
            <v>38.0165</v>
          </cell>
          <cell r="F729" t="str">
            <v>rv.010</v>
          </cell>
        </row>
        <row r="730">
          <cell r="D730">
            <v>0</v>
          </cell>
          <cell r="F730" t="str">
            <v>rv.011</v>
          </cell>
        </row>
        <row r="731">
          <cell r="D731">
            <v>0</v>
          </cell>
          <cell r="F731" t="str">
            <v>rv.012</v>
          </cell>
        </row>
        <row r="732">
          <cell r="D732">
            <v>0</v>
          </cell>
          <cell r="F732" t="str">
            <v>rv.013</v>
          </cell>
        </row>
        <row r="733">
          <cell r="D733">
            <v>0</v>
          </cell>
          <cell r="F733" t="str">
            <v>rv.014</v>
          </cell>
        </row>
        <row r="734">
          <cell r="D734">
            <v>0</v>
          </cell>
          <cell r="F734" t="str">
            <v>rv.015</v>
          </cell>
        </row>
        <row r="735">
          <cell r="D735">
            <v>404.2533</v>
          </cell>
          <cell r="F735" t="str">
            <v>rv.016</v>
          </cell>
        </row>
        <row r="736">
          <cell r="D736">
            <v>530.02</v>
          </cell>
          <cell r="F736" t="str">
            <v>rv.017</v>
          </cell>
        </row>
        <row r="737">
          <cell r="D737">
            <v>652.7267</v>
          </cell>
          <cell r="F737" t="str">
            <v>rv.018</v>
          </cell>
        </row>
        <row r="738">
          <cell r="D738">
            <v>284.3567</v>
          </cell>
          <cell r="F738" t="str">
            <v>rv.019</v>
          </cell>
        </row>
        <row r="739">
          <cell r="D739">
            <v>3.7292</v>
          </cell>
          <cell r="F739" t="str">
            <v>rv.020</v>
          </cell>
        </row>
        <row r="740">
          <cell r="D740">
            <v>690.8384</v>
          </cell>
          <cell r="F740" t="str">
            <v>rv.021</v>
          </cell>
        </row>
        <row r="741">
          <cell r="D741">
            <v>138.7845</v>
          </cell>
          <cell r="F741" t="str">
            <v>rv.022</v>
          </cell>
        </row>
        <row r="742">
          <cell r="D742">
            <v>0</v>
          </cell>
          <cell r="F742" t="str">
            <v>rv.023</v>
          </cell>
        </row>
        <row r="743">
          <cell r="D743">
            <v>114.1117</v>
          </cell>
          <cell r="F743" t="str">
            <v>rv.024</v>
          </cell>
        </row>
        <row r="744">
          <cell r="D744">
            <v>1992.7765</v>
          </cell>
          <cell r="F744" t="str">
            <v>rv.025</v>
          </cell>
        </row>
        <row r="745">
          <cell r="D745">
            <v>1846.67</v>
          </cell>
          <cell r="F745" t="str">
            <v>rv.026</v>
          </cell>
        </row>
        <row r="746">
          <cell r="D746">
            <v>2526.36</v>
          </cell>
          <cell r="F746" t="str">
            <v>rv.027</v>
          </cell>
        </row>
        <row r="747">
          <cell r="D747">
            <v>2068.9752</v>
          </cell>
          <cell r="F747" t="str">
            <v>rv.028</v>
          </cell>
        </row>
        <row r="748">
          <cell r="D748">
            <v>2050</v>
          </cell>
          <cell r="F748" t="str">
            <v>rv.029</v>
          </cell>
        </row>
        <row r="749">
          <cell r="D749">
            <v>0.09</v>
          </cell>
          <cell r="F749" t="str">
            <v>rv.030</v>
          </cell>
        </row>
        <row r="750">
          <cell r="D750">
            <v>74.3802</v>
          </cell>
          <cell r="F750" t="str">
            <v>rv.031</v>
          </cell>
        </row>
        <row r="751">
          <cell r="D751">
            <v>2884.2733</v>
          </cell>
          <cell r="F751" t="str">
            <v>rv.032</v>
          </cell>
        </row>
        <row r="752">
          <cell r="D752">
            <v>82000</v>
          </cell>
          <cell r="F752" t="str">
            <v>rv.033</v>
          </cell>
        </row>
        <row r="753">
          <cell r="D753">
            <v>13322.314</v>
          </cell>
          <cell r="F753" t="str">
            <v>rv.034</v>
          </cell>
        </row>
        <row r="754">
          <cell r="D754">
            <v>1454.5455</v>
          </cell>
          <cell r="F754" t="str">
            <v>rv.035</v>
          </cell>
        </row>
        <row r="755">
          <cell r="D755">
            <v>67141.4667</v>
          </cell>
          <cell r="F755" t="str">
            <v>rv.036</v>
          </cell>
        </row>
        <row r="756">
          <cell r="D756">
            <v>64.8359</v>
          </cell>
          <cell r="F756" t="str">
            <v>rv.037</v>
          </cell>
        </row>
        <row r="757">
          <cell r="D757">
            <v>213.07</v>
          </cell>
          <cell r="F757" t="str">
            <v>rv.038</v>
          </cell>
        </row>
        <row r="758">
          <cell r="D758">
            <v>106.635</v>
          </cell>
          <cell r="F758" t="str">
            <v>rv.038b</v>
          </cell>
        </row>
        <row r="759">
          <cell r="D759">
            <v>9.2562</v>
          </cell>
          <cell r="F759" t="str">
            <v>rv.039</v>
          </cell>
        </row>
        <row r="760">
          <cell r="D760">
            <v>30.1794</v>
          </cell>
          <cell r="F760" t="str">
            <v>sa.001</v>
          </cell>
        </row>
        <row r="761">
          <cell r="D761">
            <v>26.0962</v>
          </cell>
          <cell r="F761" t="str">
            <v>sa.002</v>
          </cell>
        </row>
        <row r="762">
          <cell r="D762">
            <v>8.3527</v>
          </cell>
          <cell r="F762" t="str">
            <v>sa.003</v>
          </cell>
        </row>
        <row r="763">
          <cell r="D763">
            <v>10.6883</v>
          </cell>
          <cell r="F763" t="str">
            <v>sa.004</v>
          </cell>
        </row>
        <row r="764">
          <cell r="D764">
            <v>25.6894</v>
          </cell>
          <cell r="F764" t="str">
            <v>sa.005</v>
          </cell>
        </row>
        <row r="765">
          <cell r="D765">
            <v>24.1832</v>
          </cell>
          <cell r="F765" t="str">
            <v>sa.006</v>
          </cell>
        </row>
        <row r="766">
          <cell r="D766">
            <v>4.8546</v>
          </cell>
          <cell r="F766" t="str">
            <v>sa.007</v>
          </cell>
        </row>
        <row r="767">
          <cell r="D767">
            <v>5.1571</v>
          </cell>
          <cell r="F767" t="str">
            <v>sa.008</v>
          </cell>
        </row>
        <row r="768">
          <cell r="D768">
            <v>2.8189</v>
          </cell>
          <cell r="F768" t="str">
            <v>sa.009</v>
          </cell>
        </row>
        <row r="769">
          <cell r="D769">
            <v>4.0213</v>
          </cell>
          <cell r="F769" t="str">
            <v>sa.010</v>
          </cell>
        </row>
        <row r="770">
          <cell r="D770">
            <v>7.1292</v>
          </cell>
          <cell r="F770" t="str">
            <v>sa.011</v>
          </cell>
        </row>
        <row r="771">
          <cell r="D771">
            <v>11.3812</v>
          </cell>
          <cell r="F771" t="str">
            <v>sa.012</v>
          </cell>
        </row>
        <row r="772">
          <cell r="D772">
            <v>0</v>
          </cell>
          <cell r="F772" t="str">
            <v>sa.013</v>
          </cell>
        </row>
        <row r="773">
          <cell r="D773">
            <v>18.1488</v>
          </cell>
          <cell r="F773" t="str">
            <v>sa.014</v>
          </cell>
        </row>
        <row r="774">
          <cell r="D774">
            <v>72.5217</v>
          </cell>
          <cell r="F774" t="str">
            <v>sa.015</v>
          </cell>
        </row>
        <row r="775">
          <cell r="D775">
            <v>176.3967</v>
          </cell>
          <cell r="F775" t="str">
            <v>sa.015b</v>
          </cell>
        </row>
        <row r="776">
          <cell r="D776">
            <v>53.876</v>
          </cell>
          <cell r="F776" t="str">
            <v>sa.016</v>
          </cell>
        </row>
        <row r="777">
          <cell r="D777">
            <v>128.0992</v>
          </cell>
          <cell r="F777" t="str">
            <v>sa.017</v>
          </cell>
        </row>
        <row r="778">
          <cell r="D778">
            <v>128.5025</v>
          </cell>
          <cell r="F778" t="str">
            <v>sa.018</v>
          </cell>
        </row>
        <row r="779">
          <cell r="D779">
            <v>91.2621</v>
          </cell>
          <cell r="F779" t="str">
            <v>sa.019</v>
          </cell>
        </row>
        <row r="780">
          <cell r="D780">
            <v>129.4636</v>
          </cell>
          <cell r="F780" t="str">
            <v>sa.020</v>
          </cell>
        </row>
        <row r="781">
          <cell r="D781">
            <v>162.02</v>
          </cell>
          <cell r="F781" t="str">
            <v>sa.021</v>
          </cell>
        </row>
        <row r="782">
          <cell r="D782">
            <v>16.4846</v>
          </cell>
          <cell r="F782" t="str">
            <v>sa.022</v>
          </cell>
        </row>
        <row r="783">
          <cell r="D783">
            <v>0</v>
          </cell>
          <cell r="F783" t="str">
            <v>sa.023</v>
          </cell>
        </row>
        <row r="784">
          <cell r="D784">
            <v>0</v>
          </cell>
          <cell r="F784" t="str">
            <v>sa.024</v>
          </cell>
        </row>
        <row r="785">
          <cell r="D785">
            <v>17.4225</v>
          </cell>
          <cell r="F785" t="str">
            <v>sa.025</v>
          </cell>
        </row>
        <row r="786">
          <cell r="D786">
            <v>13.2231</v>
          </cell>
          <cell r="F786" t="str">
            <v>sa.026</v>
          </cell>
        </row>
        <row r="787">
          <cell r="D787">
            <v>21.2397</v>
          </cell>
          <cell r="F787" t="str">
            <v>sa.027</v>
          </cell>
        </row>
        <row r="788">
          <cell r="D788">
            <v>27.2727</v>
          </cell>
          <cell r="F788" t="str">
            <v>sa.028</v>
          </cell>
        </row>
        <row r="789">
          <cell r="D789">
            <v>15.3051</v>
          </cell>
          <cell r="F789" t="str">
            <v>sa.029</v>
          </cell>
        </row>
        <row r="790">
          <cell r="D790">
            <v>5.4552</v>
          </cell>
          <cell r="F790" t="str">
            <v>sa.030</v>
          </cell>
        </row>
        <row r="791">
          <cell r="D791">
            <v>4.8266</v>
          </cell>
          <cell r="F791" t="str">
            <v>sa.031</v>
          </cell>
        </row>
        <row r="792">
          <cell r="D792">
            <v>36.2731</v>
          </cell>
          <cell r="F792" t="str">
            <v>sa.059</v>
          </cell>
        </row>
        <row r="793">
          <cell r="D793">
            <v>1.7149</v>
          </cell>
          <cell r="F793" t="str">
            <v>sa.060</v>
          </cell>
        </row>
        <row r="794">
          <cell r="D794">
            <v>2.9008</v>
          </cell>
          <cell r="F794" t="str">
            <v>sa.061</v>
          </cell>
        </row>
        <row r="795">
          <cell r="D795">
            <v>5.5344</v>
          </cell>
          <cell r="F795" t="str">
            <v>sa.070</v>
          </cell>
        </row>
        <row r="796">
          <cell r="D796">
            <v>8.5524</v>
          </cell>
          <cell r="F796" t="str">
            <v>sa.071</v>
          </cell>
        </row>
        <row r="797">
          <cell r="D797">
            <v>13.8692</v>
          </cell>
          <cell r="F797" t="str">
            <v>sa.086</v>
          </cell>
        </row>
        <row r="798">
          <cell r="D798">
            <v>14.8223</v>
          </cell>
          <cell r="F798" t="str">
            <v>sa.087</v>
          </cell>
        </row>
        <row r="799">
          <cell r="D799">
            <v>17.2085</v>
          </cell>
          <cell r="F799" t="str">
            <v>sa.088</v>
          </cell>
        </row>
        <row r="800">
          <cell r="D800">
            <v>22.1857</v>
          </cell>
          <cell r="F800" t="str">
            <v>sa.089</v>
          </cell>
        </row>
        <row r="801">
          <cell r="D801">
            <v>26.0432</v>
          </cell>
          <cell r="F801" t="str">
            <v>sa.090</v>
          </cell>
        </row>
        <row r="802">
          <cell r="D802">
            <v>0.7934</v>
          </cell>
          <cell r="F802" t="str">
            <v>sa.107</v>
          </cell>
        </row>
        <row r="803">
          <cell r="D803">
            <v>1.2562</v>
          </cell>
          <cell r="F803" t="str">
            <v>sa.108</v>
          </cell>
        </row>
        <row r="804">
          <cell r="D804">
            <v>2.7686</v>
          </cell>
          <cell r="F804" t="str">
            <v>sa.109</v>
          </cell>
        </row>
        <row r="805">
          <cell r="D805">
            <v>2.9463</v>
          </cell>
          <cell r="F805" t="str">
            <v>sa.111</v>
          </cell>
        </row>
        <row r="806">
          <cell r="D806">
            <v>48.8043</v>
          </cell>
          <cell r="F806" t="str">
            <v>sa.112</v>
          </cell>
        </row>
        <row r="807">
          <cell r="D807">
            <v>2.0331</v>
          </cell>
          <cell r="F807" t="str">
            <v>sa.139</v>
          </cell>
        </row>
        <row r="808">
          <cell r="D808">
            <v>3.0632</v>
          </cell>
          <cell r="F808" t="str">
            <v>sa.140</v>
          </cell>
        </row>
        <row r="809">
          <cell r="D809">
            <v>26.0744</v>
          </cell>
          <cell r="F809" t="str">
            <v>sa.145</v>
          </cell>
        </row>
        <row r="810">
          <cell r="D810">
            <v>38.7273</v>
          </cell>
          <cell r="F810" t="str">
            <v>sa.150</v>
          </cell>
        </row>
        <row r="811">
          <cell r="D811">
            <v>21.5041</v>
          </cell>
          <cell r="F811" t="str">
            <v>sa.169</v>
          </cell>
        </row>
        <row r="812">
          <cell r="D812">
            <v>3.3099</v>
          </cell>
          <cell r="F812" t="str">
            <v>sa.190</v>
          </cell>
        </row>
        <row r="813">
          <cell r="D813">
            <v>0.5</v>
          </cell>
          <cell r="F813" t="str">
            <v>sa.194</v>
          </cell>
        </row>
        <row r="814">
          <cell r="D814">
            <v>0.5454</v>
          </cell>
          <cell r="F814" t="str">
            <v>sa.195</v>
          </cell>
        </row>
        <row r="815">
          <cell r="D815">
            <v>1.6942</v>
          </cell>
          <cell r="F815" t="str">
            <v>sa.200</v>
          </cell>
        </row>
        <row r="816">
          <cell r="D816">
            <v>1.0702</v>
          </cell>
          <cell r="F816" t="str">
            <v>sa.201</v>
          </cell>
        </row>
        <row r="817">
          <cell r="D817">
            <v>3.314</v>
          </cell>
          <cell r="F817" t="str">
            <v>sa.202</v>
          </cell>
        </row>
        <row r="818">
          <cell r="D818">
            <v>127.2727</v>
          </cell>
          <cell r="F818" t="str">
            <v>sa.205</v>
          </cell>
        </row>
        <row r="819">
          <cell r="D819">
            <v>60.849</v>
          </cell>
          <cell r="F819" t="str">
            <v>sa.210</v>
          </cell>
        </row>
        <row r="820">
          <cell r="D820">
            <v>12.5524</v>
          </cell>
          <cell r="F820" t="str">
            <v>sa.220</v>
          </cell>
        </row>
        <row r="821">
          <cell r="D821">
            <v>12.4793</v>
          </cell>
          <cell r="F821" t="str">
            <v>sa.221</v>
          </cell>
        </row>
        <row r="822">
          <cell r="D822">
            <v>177.781</v>
          </cell>
          <cell r="F822" t="str">
            <v>sa.223</v>
          </cell>
        </row>
        <row r="823">
          <cell r="D823">
            <v>3.9091</v>
          </cell>
          <cell r="F823" t="str">
            <v>sa.235</v>
          </cell>
        </row>
        <row r="824">
          <cell r="D824">
            <v>249.14</v>
          </cell>
          <cell r="F824" t="str">
            <v>sa.236</v>
          </cell>
        </row>
        <row r="825">
          <cell r="D825">
            <v>192.5372</v>
          </cell>
          <cell r="F825" t="str">
            <v>sa.236b</v>
          </cell>
        </row>
        <row r="826">
          <cell r="D826">
            <v>282.26</v>
          </cell>
          <cell r="F826" t="str">
            <v>sa.237</v>
          </cell>
        </row>
        <row r="827">
          <cell r="D827">
            <v>196.6529</v>
          </cell>
          <cell r="F827" t="str">
            <v>sa.237b</v>
          </cell>
        </row>
        <row r="828">
          <cell r="D828">
            <v>283.19</v>
          </cell>
          <cell r="F828" t="str">
            <v>sa.238</v>
          </cell>
        </row>
        <row r="829">
          <cell r="D829">
            <v>208.0083</v>
          </cell>
          <cell r="F829" t="str">
            <v>sa.238b</v>
          </cell>
        </row>
        <row r="830">
          <cell r="D830">
            <v>294.54</v>
          </cell>
          <cell r="F830" t="str">
            <v>sa.239</v>
          </cell>
        </row>
        <row r="831">
          <cell r="D831">
            <v>0</v>
          </cell>
          <cell r="F831" t="str">
            <v>sa.240</v>
          </cell>
        </row>
        <row r="832">
          <cell r="D832">
            <v>21.9173</v>
          </cell>
          <cell r="F832" t="str">
            <v>sa.243</v>
          </cell>
        </row>
        <row r="833">
          <cell r="D833">
            <v>32.6364</v>
          </cell>
          <cell r="F833" t="str">
            <v>sa.244</v>
          </cell>
        </row>
        <row r="834">
          <cell r="D834">
            <v>21.4711</v>
          </cell>
          <cell r="F834" t="str">
            <v>sa.247</v>
          </cell>
        </row>
        <row r="835">
          <cell r="D835">
            <v>88.3802</v>
          </cell>
          <cell r="F835" t="str">
            <v>sa.248</v>
          </cell>
        </row>
        <row r="836">
          <cell r="D836">
            <v>131.0496</v>
          </cell>
          <cell r="F836" t="str">
            <v>sa.249</v>
          </cell>
        </row>
        <row r="837">
          <cell r="D837">
            <v>16.4463</v>
          </cell>
          <cell r="F837" t="str">
            <v>sa.265</v>
          </cell>
        </row>
        <row r="838">
          <cell r="D838">
            <v>20.6364</v>
          </cell>
          <cell r="F838" t="str">
            <v>sa.270</v>
          </cell>
        </row>
        <row r="839">
          <cell r="D839">
            <v>26.5827</v>
          </cell>
          <cell r="F839" t="str">
            <v>sa.271</v>
          </cell>
        </row>
        <row r="840">
          <cell r="D840">
            <v>8.8264</v>
          </cell>
          <cell r="F840" t="str">
            <v>sa.283</v>
          </cell>
        </row>
        <row r="841">
          <cell r="D841">
            <v>47.83</v>
          </cell>
          <cell r="F841" t="str">
            <v>sa.284</v>
          </cell>
        </row>
        <row r="842">
          <cell r="D842">
            <v>48.1983</v>
          </cell>
          <cell r="F842" t="str">
            <v>sa.284b</v>
          </cell>
        </row>
        <row r="843">
          <cell r="D843">
            <v>371.6281</v>
          </cell>
          <cell r="F843" t="str">
            <v>sa.285</v>
          </cell>
        </row>
        <row r="844">
          <cell r="D844">
            <v>0</v>
          </cell>
          <cell r="F844" t="str">
            <v>sa.286</v>
          </cell>
        </row>
        <row r="845">
          <cell r="D845">
            <v>33</v>
          </cell>
          <cell r="F845" t="str">
            <v>sa.287</v>
          </cell>
        </row>
        <row r="846">
          <cell r="D846">
            <v>27.3306</v>
          </cell>
          <cell r="F846" t="str">
            <v>sa.287b</v>
          </cell>
        </row>
        <row r="847">
          <cell r="D847">
            <v>4.3182</v>
          </cell>
          <cell r="F847" t="str">
            <v>sa.288</v>
          </cell>
        </row>
        <row r="848">
          <cell r="D848">
            <v>218.9669</v>
          </cell>
          <cell r="F848" t="str">
            <v>sa.291</v>
          </cell>
        </row>
        <row r="849">
          <cell r="D849">
            <v>198.3471</v>
          </cell>
          <cell r="F849" t="str">
            <v>sa.292</v>
          </cell>
        </row>
        <row r="850">
          <cell r="D850">
            <v>214.876</v>
          </cell>
          <cell r="F850" t="str">
            <v>sa.293</v>
          </cell>
        </row>
        <row r="851">
          <cell r="D851">
            <v>462.8099</v>
          </cell>
          <cell r="F851" t="str">
            <v>sa.295</v>
          </cell>
        </row>
        <row r="852">
          <cell r="D852">
            <v>772.7273</v>
          </cell>
          <cell r="F852" t="str">
            <v>sa.296</v>
          </cell>
        </row>
        <row r="853">
          <cell r="D853">
            <v>772.7273</v>
          </cell>
          <cell r="F853" t="str">
            <v>sa.297</v>
          </cell>
        </row>
        <row r="854">
          <cell r="D854">
            <v>14.0496</v>
          </cell>
          <cell r="F854" t="str">
            <v>sa.298</v>
          </cell>
        </row>
        <row r="855">
          <cell r="D855">
            <v>247.9339</v>
          </cell>
          <cell r="F855" t="str">
            <v>sa.299</v>
          </cell>
        </row>
        <row r="856">
          <cell r="D856">
            <v>20.6691</v>
          </cell>
          <cell r="F856" t="str">
            <v>sa.300</v>
          </cell>
        </row>
        <row r="857">
          <cell r="D857">
            <v>29.3678</v>
          </cell>
          <cell r="F857" t="str">
            <v>sa.310</v>
          </cell>
        </row>
        <row r="858">
          <cell r="D858">
            <v>3.0992</v>
          </cell>
          <cell r="F858" t="str">
            <v>sa.321</v>
          </cell>
        </row>
        <row r="859">
          <cell r="D859">
            <v>4.1322</v>
          </cell>
          <cell r="F859" t="str">
            <v>sa.322</v>
          </cell>
        </row>
        <row r="860">
          <cell r="D860">
            <v>2.1157</v>
          </cell>
          <cell r="F860" t="str">
            <v>sa.323</v>
          </cell>
        </row>
        <row r="861">
          <cell r="D861">
            <v>3.2231</v>
          </cell>
          <cell r="F861" t="str">
            <v>sa.324</v>
          </cell>
        </row>
        <row r="862">
          <cell r="D862">
            <v>1.8595</v>
          </cell>
          <cell r="F862" t="str">
            <v>sa.325</v>
          </cell>
        </row>
        <row r="863">
          <cell r="D863">
            <v>0.876</v>
          </cell>
          <cell r="F863" t="str">
            <v>sa.328</v>
          </cell>
        </row>
        <row r="864">
          <cell r="D864">
            <v>1.157</v>
          </cell>
          <cell r="F864" t="str">
            <v>sa.329</v>
          </cell>
        </row>
        <row r="865">
          <cell r="D865">
            <v>2.7521</v>
          </cell>
          <cell r="F865" t="str">
            <v>sa.330</v>
          </cell>
        </row>
        <row r="866">
          <cell r="D866">
            <v>3.5041</v>
          </cell>
          <cell r="F866" t="str">
            <v>sa.331</v>
          </cell>
        </row>
        <row r="867">
          <cell r="D867">
            <v>0.4959</v>
          </cell>
          <cell r="F867" t="str">
            <v>sa.333</v>
          </cell>
        </row>
        <row r="868">
          <cell r="D868">
            <v>0.6777</v>
          </cell>
          <cell r="F868" t="str">
            <v>sa.334</v>
          </cell>
        </row>
        <row r="869">
          <cell r="D869">
            <v>10.562</v>
          </cell>
          <cell r="F869" t="str">
            <v>sa.335</v>
          </cell>
        </row>
        <row r="870">
          <cell r="D870">
            <v>2.314</v>
          </cell>
          <cell r="F870" t="str">
            <v>sa.336</v>
          </cell>
        </row>
        <row r="871">
          <cell r="D871">
            <v>3.8017</v>
          </cell>
          <cell r="F871" t="str">
            <v>sa.337</v>
          </cell>
        </row>
        <row r="872">
          <cell r="D872">
            <v>4.2066</v>
          </cell>
          <cell r="F872" t="str">
            <v>sa.338</v>
          </cell>
        </row>
        <row r="873">
          <cell r="D873">
            <v>1.1322</v>
          </cell>
          <cell r="F873" t="str">
            <v>sa.339</v>
          </cell>
        </row>
        <row r="874">
          <cell r="D874">
            <v>1.7934</v>
          </cell>
          <cell r="F874" t="str">
            <v>sa.340</v>
          </cell>
        </row>
        <row r="875">
          <cell r="D875">
            <v>10.1653</v>
          </cell>
          <cell r="F875" t="str">
            <v>sa.341</v>
          </cell>
        </row>
        <row r="876">
          <cell r="D876">
            <v>15.2066</v>
          </cell>
          <cell r="F876" t="str">
            <v>sa.342</v>
          </cell>
        </row>
        <row r="877">
          <cell r="D877">
            <v>14.7934</v>
          </cell>
          <cell r="F877" t="str">
            <v>sa.346</v>
          </cell>
        </row>
        <row r="878">
          <cell r="D878">
            <v>11.7355</v>
          </cell>
          <cell r="F878" t="str">
            <v>sa.349</v>
          </cell>
        </row>
        <row r="879">
          <cell r="D879">
            <v>8.99</v>
          </cell>
          <cell r="F879" t="str">
            <v>sa.350</v>
          </cell>
        </row>
        <row r="880">
          <cell r="D880">
            <v>8.86</v>
          </cell>
          <cell r="F880" t="str">
            <v>sa.351</v>
          </cell>
        </row>
        <row r="881">
          <cell r="D881">
            <v>407.7642</v>
          </cell>
          <cell r="F881" t="str">
            <v>sa.900</v>
          </cell>
        </row>
        <row r="882">
          <cell r="D882">
            <v>590.5994</v>
          </cell>
          <cell r="F882" t="str">
            <v>sa.900b</v>
          </cell>
        </row>
        <row r="883">
          <cell r="D883">
            <v>17.43</v>
          </cell>
          <cell r="F883" t="str">
            <v>so.002</v>
          </cell>
        </row>
        <row r="884">
          <cell r="D884">
            <v>19.0083</v>
          </cell>
          <cell r="F884" t="str">
            <v>so.002b</v>
          </cell>
        </row>
        <row r="885">
          <cell r="D885">
            <v>24.7934</v>
          </cell>
          <cell r="F885" t="str">
            <v>so.003</v>
          </cell>
        </row>
        <row r="886">
          <cell r="D886">
            <v>36.7769</v>
          </cell>
          <cell r="F886" t="str">
            <v>so.004</v>
          </cell>
        </row>
        <row r="887">
          <cell r="D887">
            <v>51.2397</v>
          </cell>
          <cell r="F887" t="str">
            <v>so.005</v>
          </cell>
        </row>
        <row r="888">
          <cell r="D888">
            <v>24.7934</v>
          </cell>
          <cell r="F888" t="str">
            <v>so.006</v>
          </cell>
        </row>
        <row r="889">
          <cell r="D889">
            <v>20.76</v>
          </cell>
          <cell r="F889" t="str">
            <v>so.009</v>
          </cell>
        </row>
        <row r="890">
          <cell r="D890">
            <v>13.9091</v>
          </cell>
          <cell r="F890" t="str">
            <v>so.009b</v>
          </cell>
        </row>
        <row r="891">
          <cell r="D891">
            <v>13.2231</v>
          </cell>
          <cell r="F891" t="str">
            <v>so.010</v>
          </cell>
        </row>
        <row r="892">
          <cell r="D892">
            <v>11.5702</v>
          </cell>
          <cell r="F892" t="str">
            <v>so.011</v>
          </cell>
        </row>
        <row r="893">
          <cell r="D893">
            <v>12.3967</v>
          </cell>
          <cell r="F893" t="str">
            <v>so.012</v>
          </cell>
        </row>
        <row r="894">
          <cell r="D894">
            <v>9.0909</v>
          </cell>
          <cell r="F894" t="str">
            <v>so.013</v>
          </cell>
        </row>
        <row r="895">
          <cell r="D895">
            <v>12.3967</v>
          </cell>
          <cell r="F895" t="str">
            <v>so.014</v>
          </cell>
        </row>
        <row r="896">
          <cell r="D896">
            <v>40.0826</v>
          </cell>
          <cell r="F896" t="str">
            <v>so.015</v>
          </cell>
        </row>
        <row r="897">
          <cell r="D897">
            <v>15.6612</v>
          </cell>
          <cell r="F897" t="str">
            <v>so.016</v>
          </cell>
        </row>
        <row r="898">
          <cell r="D898">
            <v>27.53</v>
          </cell>
          <cell r="F898" t="str">
            <v>so.030</v>
          </cell>
        </row>
        <row r="899">
          <cell r="D899">
            <v>24.3656</v>
          </cell>
          <cell r="F899" t="str">
            <v>so.030b</v>
          </cell>
        </row>
        <row r="900">
          <cell r="D900">
            <v>0</v>
          </cell>
          <cell r="F900" t="str">
            <v>te.001</v>
          </cell>
        </row>
        <row r="901">
          <cell r="D901">
            <v>1.485</v>
          </cell>
          <cell r="F901" t="str">
            <v>te.002</v>
          </cell>
        </row>
        <row r="902">
          <cell r="D902">
            <v>1.4626</v>
          </cell>
          <cell r="F902" t="str">
            <v>te.003</v>
          </cell>
        </row>
        <row r="903">
          <cell r="D903">
            <v>0</v>
          </cell>
          <cell r="F903" t="str">
            <v>te.004</v>
          </cell>
        </row>
        <row r="904">
          <cell r="D904">
            <v>0</v>
          </cell>
          <cell r="F904" t="str">
            <v>te.005</v>
          </cell>
        </row>
        <row r="905">
          <cell r="D905">
            <v>1</v>
          </cell>
          <cell r="F905" t="str">
            <v>uno.eq</v>
          </cell>
        </row>
        <row r="906">
          <cell r="D906">
            <v>1</v>
          </cell>
          <cell r="F906" t="str">
            <v>uno.ma</v>
          </cell>
        </row>
        <row r="907">
          <cell r="D907">
            <v>1</v>
          </cell>
          <cell r="F907" t="str">
            <v>uno.mo</v>
          </cell>
        </row>
        <row r="908">
          <cell r="D908">
            <v>55.5245</v>
          </cell>
          <cell r="F908" t="str">
            <v>vi.001</v>
          </cell>
        </row>
        <row r="909">
          <cell r="D909">
            <v>73.6997</v>
          </cell>
          <cell r="F909" t="str">
            <v>vi.002</v>
          </cell>
        </row>
        <row r="910">
          <cell r="D910">
            <v>42.7449</v>
          </cell>
          <cell r="F910" t="str">
            <v>vi.003</v>
          </cell>
        </row>
        <row r="911">
          <cell r="D911">
            <v>49.4215</v>
          </cell>
          <cell r="F911" t="str">
            <v>vi.004</v>
          </cell>
        </row>
        <row r="912">
          <cell r="D912">
            <v>0</v>
          </cell>
          <cell r="F912" t="str">
            <v>vi.005</v>
          </cell>
        </row>
        <row r="913">
          <cell r="D913">
            <v>76.775</v>
          </cell>
          <cell r="F913" t="str">
            <v>vi.006</v>
          </cell>
        </row>
        <row r="914">
          <cell r="D914">
            <v>107.26</v>
          </cell>
          <cell r="F914" t="str">
            <v>vi.007</v>
          </cell>
        </row>
        <row r="915">
          <cell r="D915">
            <v>266.3967</v>
          </cell>
          <cell r="F915" t="str">
            <v>vi.008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25"/>
  <sheetViews>
    <sheetView tabSelected="1" zoomScale="90" zoomScaleNormal="90" workbookViewId="0" topLeftCell="A1">
      <selection activeCell="I3" sqref="I3"/>
    </sheetView>
  </sheetViews>
  <sheetFormatPr defaultColWidth="11.19921875" defaultRowHeight="15"/>
  <cols>
    <col min="1" max="1" width="4.3984375" style="5" customWidth="1"/>
    <col min="2" max="2" width="8.09765625" style="1" customWidth="1"/>
    <col min="3" max="3" width="13.69921875" style="1" customWidth="1"/>
    <col min="4" max="4" width="19.8984375" style="1" customWidth="1"/>
    <col min="5" max="5" width="6.3984375" style="5" bestFit="1" customWidth="1"/>
    <col min="6" max="6" width="12.3984375" style="23" bestFit="1" customWidth="1"/>
    <col min="7" max="7" width="10.69921875" style="1" hidden="1" customWidth="1"/>
    <col min="8" max="16384" width="10.69921875" style="1" customWidth="1"/>
  </cols>
  <sheetData>
    <row r="1" spans="1:6" ht="18" customHeight="1" thickBot="1">
      <c r="A1" s="392" t="s">
        <v>1065</v>
      </c>
      <c r="B1" s="392"/>
      <c r="C1" s="392"/>
      <c r="D1" s="392"/>
      <c r="E1" s="392"/>
      <c r="F1" s="392"/>
    </row>
    <row r="2" spans="1:6" ht="18" customHeight="1" thickBot="1">
      <c r="A2" s="389" t="s">
        <v>981</v>
      </c>
      <c r="B2" s="390"/>
      <c r="C2" s="390"/>
      <c r="D2" s="390"/>
      <c r="E2" s="390"/>
      <c r="F2" s="391"/>
    </row>
    <row r="3" spans="5:6" ht="13.5" thickBot="1">
      <c r="E3" s="35" t="s">
        <v>982</v>
      </c>
      <c r="F3" s="36" t="str">
        <f>Fecha</f>
        <v>JUN/10</v>
      </c>
    </row>
    <row r="4" spans="1:6" ht="30.75" thickBot="1">
      <c r="A4" s="17" t="s">
        <v>701</v>
      </c>
      <c r="B4" s="18" t="s">
        <v>702</v>
      </c>
      <c r="C4" s="18" t="s">
        <v>704</v>
      </c>
      <c r="D4" s="18" t="s">
        <v>560</v>
      </c>
      <c r="E4" s="18" t="s">
        <v>705</v>
      </c>
      <c r="F4" s="24" t="s">
        <v>703</v>
      </c>
    </row>
    <row r="5" spans="1:9" ht="12.75">
      <c r="A5" s="41">
        <v>1</v>
      </c>
      <c r="B5" s="16" t="s">
        <v>497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5">
        <f ca="1">INDIRECT("vfor_"&amp;$B5)</f>
        <v>68.6404</v>
      </c>
      <c r="G5" s="25"/>
      <c r="I5" s="99"/>
    </row>
    <row r="6" spans="1:9" ht="12.75">
      <c r="A6" s="41">
        <v>2</v>
      </c>
      <c r="B6" s="16" t="s">
        <v>498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5">
        <f ca="1" t="shared" si="3" ref="F6:F43">INDIRECT("vfor_"&amp;$B6)</f>
        <v>87.0028</v>
      </c>
      <c r="G6" s="25"/>
      <c r="I6" s="99"/>
    </row>
    <row r="7" spans="1:9" ht="12.75">
      <c r="A7" s="41">
        <v>3</v>
      </c>
      <c r="B7" s="1" t="s">
        <v>499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5">
        <f ca="1" t="shared" si="3"/>
        <v>145.1504</v>
      </c>
      <c r="G7" s="25"/>
      <c r="I7" s="99"/>
    </row>
    <row r="8" spans="1:9" ht="12.75">
      <c r="A8" s="41">
        <v>4</v>
      </c>
      <c r="B8" s="1" t="s">
        <v>500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5">
        <f ca="1" t="shared" si="3"/>
        <v>90.90679999999999</v>
      </c>
      <c r="G8" s="25"/>
      <c r="I8" s="99"/>
    </row>
    <row r="9" spans="1:9" ht="12.75">
      <c r="A9" s="41">
        <v>5</v>
      </c>
      <c r="B9" s="1" t="s">
        <v>503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5">
        <f ca="1" t="shared" si="3"/>
        <v>49.92244</v>
      </c>
      <c r="G9" s="25"/>
      <c r="I9" s="99"/>
    </row>
    <row r="10" spans="1:9" ht="12.75">
      <c r="A10" s="41">
        <v>6</v>
      </c>
      <c r="B10" s="1" t="s">
        <v>709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5">
        <f ca="1" t="shared" si="3"/>
        <v>50.90299999999999</v>
      </c>
      <c r="G10" s="25"/>
      <c r="I10" s="99"/>
    </row>
    <row r="11" spans="1:9" ht="12.75">
      <c r="A11" s="41">
        <v>7</v>
      </c>
      <c r="B11" s="1" t="s">
        <v>1093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5">
        <f ca="1" t="shared" si="3"/>
        <v>8.85219</v>
      </c>
      <c r="G11" s="25"/>
      <c r="I11" s="99"/>
    </row>
    <row r="12" spans="1:9" ht="12.75">
      <c r="A12" s="41">
        <v>8</v>
      </c>
      <c r="B12" s="1" t="s">
        <v>1094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5">
        <f ca="1" t="shared" si="3"/>
        <v>2.6606</v>
      </c>
      <c r="G12" s="25"/>
      <c r="I12" s="99"/>
    </row>
    <row r="13" spans="1:9" ht="12.75">
      <c r="A13" s="41">
        <v>9</v>
      </c>
      <c r="B13" s="1" t="s">
        <v>511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5">
        <f ca="1">INDIRECT("vfor_"&amp;$B13)</f>
        <v>16.916310000000003</v>
      </c>
      <c r="G13" s="25"/>
      <c r="I13" s="99"/>
    </row>
    <row r="14" spans="1:9" ht="12.75">
      <c r="A14" s="41">
        <v>10</v>
      </c>
      <c r="B14" s="1" t="s">
        <v>521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5">
        <f ca="1" t="shared" si="3"/>
        <v>888.764726</v>
      </c>
      <c r="G14" s="25"/>
      <c r="I14" s="99"/>
    </row>
    <row r="15" spans="1:9" ht="12.75">
      <c r="A15" s="41">
        <v>11</v>
      </c>
      <c r="B15" s="1" t="s">
        <v>522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5">
        <f ca="1" t="shared" si="3"/>
        <v>1136.31155</v>
      </c>
      <c r="G15" s="25"/>
      <c r="I15" s="99"/>
    </row>
    <row r="16" spans="1:9" ht="12.75">
      <c r="A16" s="41">
        <v>12</v>
      </c>
      <c r="B16" s="1" t="s">
        <v>531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5">
        <f ca="1" t="shared" si="3"/>
        <v>1011.9758750000001</v>
      </c>
      <c r="G16" s="25"/>
      <c r="I16" s="99"/>
    </row>
    <row r="17" spans="1:9" ht="12.75">
      <c r="A17" s="41">
        <v>13</v>
      </c>
      <c r="B17" s="1" t="s">
        <v>710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5">
        <f ca="1" t="shared" si="3"/>
        <v>1846.6163849999998</v>
      </c>
      <c r="G17" s="25"/>
      <c r="I17" s="99"/>
    </row>
    <row r="18" spans="1:9" ht="12.75">
      <c r="A18" s="41">
        <v>14</v>
      </c>
      <c r="B18" s="1" t="s">
        <v>523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5">
        <f ca="1" t="shared" si="3"/>
        <v>1752.264185</v>
      </c>
      <c r="G18" s="25"/>
      <c r="I18" s="99"/>
    </row>
    <row r="19" spans="1:9" ht="12.75">
      <c r="A19" s="41">
        <v>15</v>
      </c>
      <c r="B19" s="1" t="s">
        <v>524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5">
        <f ca="1">INDIRECT("vfor_"&amp;$B19)</f>
        <v>1664.41127</v>
      </c>
      <c r="G19" s="25"/>
      <c r="I19" s="99"/>
    </row>
    <row r="20" spans="1:9" s="145" customFormat="1" ht="12.75">
      <c r="A20" s="291">
        <v>16</v>
      </c>
      <c r="B20" s="145" t="s">
        <v>526</v>
      </c>
      <c r="C20" s="145" t="str">
        <f ca="1" t="shared" si="0"/>
        <v>ESTRUCTURA RESISTENTE</v>
      </c>
      <c r="D20" s="145" t="str">
        <f ca="1" t="shared" si="1"/>
        <v>estr. de Hº Aº vigas y columnas. encad .</v>
      </c>
      <c r="E20" s="22" t="str">
        <f ca="1" t="shared" si="2"/>
        <v>m3</v>
      </c>
      <c r="F20" s="292">
        <f ca="1" t="shared" si="3"/>
        <v>1800.2932999999998</v>
      </c>
      <c r="G20" s="292"/>
      <c r="I20" s="99"/>
    </row>
    <row r="21" spans="1:9" ht="12.75">
      <c r="A21" s="41">
        <v>17</v>
      </c>
      <c r="B21" s="1" t="s">
        <v>527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5">
        <f ca="1" t="shared" si="3"/>
        <v>1329.6988336</v>
      </c>
      <c r="G21" s="25"/>
      <c r="I21" s="99"/>
    </row>
    <row r="22" spans="1:9" s="145" customFormat="1" ht="12.75">
      <c r="A22" s="291">
        <v>18</v>
      </c>
      <c r="B22" s="145" t="s">
        <v>529</v>
      </c>
      <c r="C22" s="145" t="str">
        <f ca="1" t="shared" si="0"/>
        <v>ESTRUCTURA RESISTENTE</v>
      </c>
      <c r="D22" s="145" t="str">
        <f ca="1" t="shared" si="1"/>
        <v>estr. de Hº Aº losa cerám. aliv.c/viguetas</v>
      </c>
      <c r="E22" s="22" t="str">
        <f ca="1" t="shared" si="2"/>
        <v>m2</v>
      </c>
      <c r="F22" s="292">
        <f ca="1">INDIRECT("vfor_"&amp;$B22)</f>
        <v>201.49009800000002</v>
      </c>
      <c r="G22" s="292"/>
      <c r="I22" s="99"/>
    </row>
    <row r="23" spans="1:9" s="145" customFormat="1" ht="12.75">
      <c r="A23" s="291">
        <v>19</v>
      </c>
      <c r="B23" s="145" t="s">
        <v>880</v>
      </c>
      <c r="C23" s="145" t="str">
        <f ca="1" t="shared" si="0"/>
        <v>ESTRUCTURA RESISTENTE</v>
      </c>
      <c r="D23" s="145" t="str">
        <f ca="1" t="shared" si="1"/>
        <v> Hº Aº losa maciza c/encofr. Metálic</v>
      </c>
      <c r="E23" s="22" t="str">
        <f ca="1" t="shared" si="2"/>
        <v>m3</v>
      </c>
      <c r="F23" s="292">
        <f ca="1" t="shared" si="3"/>
        <v>1242.099377</v>
      </c>
      <c r="G23" s="292"/>
      <c r="I23" s="99"/>
    </row>
    <row r="24" spans="1:9" ht="12.75">
      <c r="A24" s="41">
        <v>20</v>
      </c>
      <c r="B24" s="1" t="s">
        <v>1099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5">
        <f ca="1" t="shared" si="3"/>
        <v>1550.2541049999995</v>
      </c>
      <c r="G24" s="25"/>
      <c r="I24" s="99"/>
    </row>
    <row r="25" spans="1:9" ht="12.75">
      <c r="A25" s="41">
        <v>21</v>
      </c>
      <c r="B25" s="1" t="s">
        <v>1102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5">
        <f ca="1" t="shared" si="3"/>
        <v>1741.517849</v>
      </c>
      <c r="G25" s="25"/>
      <c r="I25" s="99"/>
    </row>
    <row r="26" spans="1:9" ht="12.75">
      <c r="A26" s="41">
        <v>22</v>
      </c>
      <c r="B26" s="1" t="s">
        <v>1104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5">
        <f ca="1" t="shared" si="3"/>
        <v>2051.8365244999995</v>
      </c>
      <c r="G26" s="25"/>
      <c r="I26" s="99"/>
    </row>
    <row r="27" spans="1:9" ht="12.75">
      <c r="A27" s="41">
        <v>23</v>
      </c>
      <c r="B27" s="1" t="s">
        <v>492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5">
        <f ca="1" t="shared" si="3"/>
        <v>75.955768</v>
      </c>
      <c r="G27" s="25"/>
      <c r="I27" s="99"/>
    </row>
    <row r="28" spans="1:9" ht="12.75">
      <c r="A28" s="41">
        <v>24</v>
      </c>
      <c r="B28" s="1" t="s">
        <v>516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5">
        <f ca="1" t="shared" si="3"/>
        <v>535.105694</v>
      </c>
      <c r="G28" s="25"/>
      <c r="I28" s="99"/>
    </row>
    <row r="29" spans="1:9" ht="12.75">
      <c r="A29" s="41">
        <v>25</v>
      </c>
      <c r="B29" s="1" t="s">
        <v>517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5">
        <f ca="1" t="shared" si="3"/>
        <v>586.226244</v>
      </c>
      <c r="G29" s="25"/>
      <c r="I29" s="99"/>
    </row>
    <row r="30" spans="1:9" ht="12.75">
      <c r="A30" s="41">
        <v>26</v>
      </c>
      <c r="B30" s="1" t="s">
        <v>481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5">
        <f ca="1" t="shared" si="3"/>
        <v>45.716547000000006</v>
      </c>
      <c r="G30" s="25"/>
      <c r="I30" s="99"/>
    </row>
    <row r="31" spans="1:9" ht="12.75">
      <c r="A31" s="41">
        <v>27</v>
      </c>
      <c r="B31" s="1" t="s">
        <v>490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5">
        <f ca="1" t="shared" si="3"/>
        <v>56.67204</v>
      </c>
      <c r="G31" s="25"/>
      <c r="I31" s="99"/>
    </row>
    <row r="32" spans="1:9" ht="12.75">
      <c r="A32" s="41">
        <v>28</v>
      </c>
      <c r="B32" s="1" t="s">
        <v>491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5">
        <f ca="1" t="shared" si="3"/>
        <v>68.42360000000001</v>
      </c>
      <c r="G32" s="25"/>
      <c r="I32" s="99"/>
    </row>
    <row r="33" spans="1:9" ht="12.75">
      <c r="A33" s="41">
        <v>29</v>
      </c>
      <c r="B33" s="1" t="s">
        <v>535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5">
        <f ca="1" t="shared" si="3"/>
        <v>69.10340000000001</v>
      </c>
      <c r="G33" s="25"/>
      <c r="I33" s="99"/>
    </row>
    <row r="34" spans="1:9" ht="12.75">
      <c r="A34" s="41">
        <v>30</v>
      </c>
      <c r="B34" s="1" t="s">
        <v>706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5">
        <f ca="1" t="shared" si="3"/>
        <v>73.58079709999998</v>
      </c>
      <c r="G34" s="25"/>
      <c r="I34" s="99"/>
    </row>
    <row r="35" spans="1:9" ht="12.75">
      <c r="A35" s="41">
        <v>31</v>
      </c>
      <c r="B35" s="1" t="s">
        <v>1100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5">
        <f ca="1" t="shared" si="3"/>
        <v>648.975834</v>
      </c>
      <c r="G35" s="25"/>
      <c r="I35" s="99"/>
    </row>
    <row r="36" spans="1:9" ht="12.75">
      <c r="A36" s="41">
        <v>32</v>
      </c>
      <c r="B36" s="1" t="s">
        <v>1114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5">
        <f ca="1" t="shared" si="3"/>
        <v>655.1668162</v>
      </c>
      <c r="G36" s="25"/>
      <c r="I36" s="99"/>
    </row>
    <row r="37" spans="1:9" ht="12.75">
      <c r="A37" s="41">
        <v>33</v>
      </c>
      <c r="B37" s="1" t="s">
        <v>493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5">
        <f ca="1" t="shared" si="3"/>
        <v>23.8987126</v>
      </c>
      <c r="G37" s="25"/>
      <c r="I37" s="99"/>
    </row>
    <row r="38" spans="1:9" ht="12.75">
      <c r="A38" s="41">
        <v>34</v>
      </c>
      <c r="B38" s="1" t="s">
        <v>494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5">
        <f ca="1" t="shared" si="3"/>
        <v>56.87780199999999</v>
      </c>
      <c r="G38" s="25"/>
      <c r="I38" s="99"/>
    </row>
    <row r="39" spans="1:9" ht="12.75">
      <c r="A39" s="41">
        <v>35</v>
      </c>
      <c r="B39" s="1" t="s">
        <v>708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5">
        <f ca="1" t="shared" si="3"/>
        <v>31.421417</v>
      </c>
      <c r="G39" s="25"/>
      <c r="I39" s="99"/>
    </row>
    <row r="40" spans="1:9" ht="12.75">
      <c r="A40" s="41">
        <v>36</v>
      </c>
      <c r="B40" s="1" t="s">
        <v>495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5">
        <f ca="1" t="shared" si="3"/>
        <v>29.302003000000003</v>
      </c>
      <c r="G40" s="25"/>
      <c r="I40" s="99"/>
    </row>
    <row r="41" spans="1:9" ht="12.75">
      <c r="A41" s="41">
        <v>37</v>
      </c>
      <c r="B41" s="1" t="s">
        <v>707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5">
        <f ca="1" t="shared" si="3"/>
        <v>50.62328</v>
      </c>
      <c r="G41" s="25"/>
      <c r="I41" s="99"/>
    </row>
    <row r="42" spans="1:9" ht="12.75">
      <c r="A42" s="41">
        <v>38</v>
      </c>
      <c r="B42" s="1" t="s">
        <v>353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5">
        <f ca="1" t="shared" si="3"/>
        <v>29.040409999999994</v>
      </c>
      <c r="G42" s="25"/>
      <c r="I42" s="99"/>
    </row>
    <row r="43" spans="1:9" ht="12.75">
      <c r="A43" s="41">
        <v>39</v>
      </c>
      <c r="B43" s="1" t="s">
        <v>355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5">
        <f ca="1" t="shared" si="3"/>
        <v>13.956014999999999</v>
      </c>
      <c r="G43" s="25"/>
      <c r="I43" s="99"/>
    </row>
    <row r="44" spans="1:9" ht="12.75">
      <c r="A44" s="41">
        <v>40</v>
      </c>
      <c r="B44" s="1" t="s">
        <v>356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25">
        <f ca="1" t="shared" si="7" ref="F44:F80">INDIRECT("vfor_"&amp;$B44)</f>
        <v>112.45745799999999</v>
      </c>
      <c r="G44" s="25"/>
      <c r="I44" s="99"/>
    </row>
    <row r="45" spans="1:9" ht="12.75">
      <c r="A45" s="41">
        <v>41</v>
      </c>
      <c r="B45" s="1" t="s">
        <v>357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25">
        <f ca="1" t="shared" si="7"/>
        <v>78.6963712</v>
      </c>
      <c r="G45" s="25"/>
      <c r="I45" s="99"/>
    </row>
    <row r="46" spans="1:9" ht="12.75">
      <c r="A46" s="41">
        <v>42</v>
      </c>
      <c r="B46" s="1" t="s">
        <v>358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25">
        <f ca="1" t="shared" si="7"/>
        <v>58.1656916</v>
      </c>
      <c r="G46" s="25"/>
      <c r="I46" s="99"/>
    </row>
    <row r="47" spans="1:9" ht="12.75">
      <c r="A47" s="41">
        <v>43</v>
      </c>
      <c r="B47" s="1" t="s">
        <v>713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25">
        <f ca="1" t="shared" si="7"/>
        <v>71.90634</v>
      </c>
      <c r="G47" s="25"/>
      <c r="I47" s="413"/>
    </row>
    <row r="48" spans="1:9" ht="12.75">
      <c r="A48" s="41">
        <v>44</v>
      </c>
      <c r="B48" s="1" t="s">
        <v>359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25">
        <f ca="1" t="shared" si="7"/>
        <v>36.217128499999994</v>
      </c>
      <c r="G48" s="25"/>
      <c r="I48" s="99"/>
    </row>
    <row r="49" spans="1:9" ht="12.75">
      <c r="A49" s="41">
        <v>45</v>
      </c>
      <c r="B49" s="1" t="s">
        <v>549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25">
        <f ca="1" t="shared" si="7"/>
        <v>44.98763</v>
      </c>
      <c r="G49" s="25"/>
      <c r="I49" s="99"/>
    </row>
    <row r="50" spans="1:9" ht="12.75">
      <c r="A50" s="41">
        <v>46</v>
      </c>
      <c r="B50" s="1" t="s">
        <v>551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25">
        <f ca="1" t="shared" si="7"/>
        <v>73.86265</v>
      </c>
      <c r="G50" s="25"/>
      <c r="I50" s="99"/>
    </row>
    <row r="51" spans="1:9" ht="12.75">
      <c r="A51" s="41">
        <v>47</v>
      </c>
      <c r="B51" s="1" t="s">
        <v>360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25">
        <f ca="1" t="shared" si="7"/>
        <v>215.6306</v>
      </c>
      <c r="G51" s="25"/>
      <c r="I51" s="99"/>
    </row>
    <row r="52" spans="1:9" ht="12.75">
      <c r="A52" s="41">
        <v>48</v>
      </c>
      <c r="B52" s="1" t="s">
        <v>901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25">
        <f ca="1" t="shared" si="7"/>
        <v>84.21028</v>
      </c>
      <c r="G52" s="25"/>
      <c r="I52" s="99"/>
    </row>
    <row r="53" spans="1:9" ht="12.75">
      <c r="A53" s="41">
        <v>49</v>
      </c>
      <c r="B53" s="1" t="s">
        <v>362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25">
        <f ca="1" t="shared" si="7"/>
        <v>152.12498399999998</v>
      </c>
      <c r="G53" s="25"/>
      <c r="I53" s="99"/>
    </row>
    <row r="54" spans="1:9" ht="12.75">
      <c r="A54" s="41">
        <v>50</v>
      </c>
      <c r="B54" s="1" t="s">
        <v>363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25">
        <f ca="1" t="shared" si="7"/>
        <v>135.563015</v>
      </c>
      <c r="G54" s="25"/>
      <c r="I54" s="99"/>
    </row>
    <row r="55" spans="1:9" ht="12.75">
      <c r="A55" s="41">
        <v>51</v>
      </c>
      <c r="B55" s="1" t="s">
        <v>364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25">
        <f ca="1" t="shared" si="7"/>
        <v>127.331565</v>
      </c>
      <c r="G55" s="25"/>
      <c r="I55" s="99"/>
    </row>
    <row r="56" spans="1:9" ht="12.75">
      <c r="A56" s="41">
        <v>52</v>
      </c>
      <c r="B56" s="1" t="s">
        <v>365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25">
        <f ca="1" t="shared" si="7"/>
        <v>650.2803149999999</v>
      </c>
      <c r="G56" s="25"/>
      <c r="H56" s="25"/>
      <c r="I56" s="99"/>
    </row>
    <row r="57" spans="1:9" ht="12.75">
      <c r="A57" s="41">
        <v>53</v>
      </c>
      <c r="B57" s="1" t="s">
        <v>366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25">
        <f ca="1" t="shared" si="7"/>
        <v>203.11427000000003</v>
      </c>
      <c r="G57" s="25"/>
      <c r="I57" s="99"/>
    </row>
    <row r="58" spans="1:9" ht="12.75">
      <c r="A58" s="41">
        <v>54</v>
      </c>
      <c r="B58" s="1" t="s">
        <v>1108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25">
        <f ca="1" t="shared" si="7"/>
        <v>137.94835</v>
      </c>
      <c r="G58" s="25"/>
      <c r="I58" s="99"/>
    </row>
    <row r="59" spans="1:9" ht="12.75">
      <c r="A59" s="41">
        <v>55</v>
      </c>
      <c r="B59" s="1" t="s">
        <v>367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25">
        <f ca="1" t="shared" si="7"/>
        <v>103.54977300000002</v>
      </c>
      <c r="G59" s="25"/>
      <c r="I59" s="99"/>
    </row>
    <row r="60" spans="1:9" ht="12.75">
      <c r="A60" s="41">
        <v>56</v>
      </c>
      <c r="B60" s="1" t="s">
        <v>369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25">
        <f ca="1" t="shared" si="7"/>
        <v>121.05397300000001</v>
      </c>
      <c r="G60" s="25"/>
      <c r="I60" s="99"/>
    </row>
    <row r="61" spans="1:9" ht="12.75">
      <c r="A61" s="41">
        <v>57</v>
      </c>
      <c r="B61" s="1" t="s">
        <v>370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25">
        <f ca="1" t="shared" si="7"/>
        <v>102.6311</v>
      </c>
      <c r="G61" s="25"/>
      <c r="I61" s="99"/>
    </row>
    <row r="62" spans="1:9" ht="12.75">
      <c r="A62" s="41">
        <v>58</v>
      </c>
      <c r="B62" s="1" t="s">
        <v>371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25">
        <f ca="1" t="shared" si="7"/>
        <v>106.69443000000001</v>
      </c>
      <c r="G62" s="25"/>
      <c r="I62" s="99"/>
    </row>
    <row r="63" spans="1:9" s="145" customFormat="1" ht="12.75">
      <c r="A63" s="291">
        <v>59</v>
      </c>
      <c r="B63" s="145" t="s">
        <v>372</v>
      </c>
      <c r="C63" s="145" t="str">
        <f ca="1" t="shared" si="4"/>
        <v>CIELORRASOS</v>
      </c>
      <c r="D63" s="145" t="str">
        <f ca="1" t="shared" si="5"/>
        <v>aplicado grueso y fino a la cal</v>
      </c>
      <c r="E63" s="22" t="str">
        <f ca="1" t="shared" si="6"/>
        <v>m2</v>
      </c>
      <c r="F63" s="292">
        <f ca="1" t="shared" si="7"/>
        <v>46.34061500000001</v>
      </c>
      <c r="G63" s="292"/>
      <c r="I63" s="99"/>
    </row>
    <row r="64" spans="1:9" ht="12.75">
      <c r="A64" s="41">
        <v>60</v>
      </c>
      <c r="B64" s="1" t="s">
        <v>902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25">
        <f ca="1" t="shared" si="7"/>
        <v>64.033382</v>
      </c>
      <c r="G64" s="25"/>
      <c r="I64" s="99"/>
    </row>
    <row r="65" spans="1:9" ht="12.75">
      <c r="A65" s="41">
        <v>61</v>
      </c>
      <c r="B65" s="1" t="s">
        <v>1117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25">
        <f ca="1" t="shared" si="7"/>
        <v>97.69445000000002</v>
      </c>
      <c r="G65" s="25"/>
      <c r="I65" s="99"/>
    </row>
    <row r="66" spans="1:9" ht="12.75">
      <c r="A66" s="41">
        <v>62</v>
      </c>
      <c r="B66" s="1" t="s">
        <v>373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25">
        <f ca="1" t="shared" si="7"/>
        <v>14.24681</v>
      </c>
      <c r="G66" s="25"/>
      <c r="I66" s="99"/>
    </row>
    <row r="67" spans="1:9" ht="12.75">
      <c r="A67" s="41">
        <v>63</v>
      </c>
      <c r="B67" s="1" t="s">
        <v>375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25">
        <f ca="1" t="shared" si="7"/>
        <v>63.077025</v>
      </c>
      <c r="G67" s="25"/>
      <c r="I67" s="99"/>
    </row>
    <row r="68" spans="1:9" ht="12.75">
      <c r="A68" s="41">
        <v>64</v>
      </c>
      <c r="B68" s="1" t="s">
        <v>376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25">
        <f ca="1" t="shared" si="7"/>
        <v>9659.9274096</v>
      </c>
      <c r="G68" s="25"/>
      <c r="H68" s="25"/>
      <c r="I68" s="99"/>
    </row>
    <row r="69" spans="1:9" ht="12.75">
      <c r="A69" s="41">
        <v>65</v>
      </c>
      <c r="B69" s="1" t="s">
        <v>482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25">
        <f ca="1" t="shared" si="7"/>
        <v>7330.062</v>
      </c>
      <c r="G69" s="25"/>
      <c r="H69" s="25"/>
      <c r="I69" s="99"/>
    </row>
    <row r="70" spans="1:9" ht="12.75">
      <c r="A70" s="41">
        <v>66</v>
      </c>
      <c r="B70" s="1" t="s">
        <v>484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25">
        <f ca="1" t="shared" si="7"/>
        <v>2274.533868</v>
      </c>
      <c r="G70" s="25"/>
      <c r="I70" s="99"/>
    </row>
    <row r="71" spans="1:9" ht="12.75">
      <c r="A71" s="41">
        <v>67</v>
      </c>
      <c r="B71" s="1" t="s">
        <v>1061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25">
        <f ca="1" t="shared" si="7"/>
        <v>2493.133868</v>
      </c>
      <c r="G71" s="25"/>
      <c r="I71" s="99"/>
    </row>
    <row r="72" spans="1:9" ht="12.75">
      <c r="A72" s="41">
        <v>68</v>
      </c>
      <c r="B72" s="1" t="s">
        <v>1076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25">
        <f ca="1" t="shared" si="7"/>
        <v>99274.64519999998</v>
      </c>
      <c r="G72" s="25"/>
      <c r="I72" s="99"/>
    </row>
    <row r="73" spans="1:9" ht="12.75">
      <c r="A73" s="41">
        <v>69</v>
      </c>
      <c r="B73" s="1" t="s">
        <v>1079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25">
        <f ca="1" t="shared" si="7"/>
        <v>19005.854821999998</v>
      </c>
      <c r="G73" s="25"/>
      <c r="I73" s="99"/>
    </row>
    <row r="74" spans="1:9" ht="12.75">
      <c r="A74" s="41">
        <v>70</v>
      </c>
      <c r="B74" s="1" t="s">
        <v>506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25">
        <f ca="1" t="shared" si="7"/>
        <v>758.902685</v>
      </c>
      <c r="G74" s="25"/>
      <c r="I74" s="99"/>
    </row>
    <row r="75" spans="1:9" ht="12.75">
      <c r="A75" s="41">
        <v>71</v>
      </c>
      <c r="B75" s="1" t="s">
        <v>543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25">
        <f ca="1" t="shared" si="7"/>
        <v>1549.1799999999998</v>
      </c>
      <c r="G75" s="25"/>
      <c r="I75" s="99"/>
    </row>
    <row r="76" spans="1:9" ht="12.75">
      <c r="A76" s="41">
        <v>72</v>
      </c>
      <c r="B76" s="1" t="s">
        <v>545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25">
        <f ca="1" t="shared" si="7"/>
        <v>2308.082685</v>
      </c>
      <c r="G76" s="25"/>
      <c r="I76" s="99"/>
    </row>
    <row r="77" spans="1:9" ht="12.75">
      <c r="A77" s="41">
        <v>73</v>
      </c>
      <c r="B77" s="1" t="s">
        <v>379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25">
        <f ca="1" t="shared" si="7"/>
        <v>8237.1712414</v>
      </c>
      <c r="G77" s="25"/>
      <c r="I77" s="99"/>
    </row>
    <row r="78" spans="1:9" ht="12.75">
      <c r="A78" s="41">
        <v>74</v>
      </c>
      <c r="B78" s="1" t="s">
        <v>508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25">
        <f ca="1" t="shared" si="7"/>
        <v>2476.055436</v>
      </c>
      <c r="G78" s="25"/>
      <c r="I78" s="99"/>
    </row>
    <row r="79" spans="1:9" ht="12.75">
      <c r="A79" s="41">
        <v>75</v>
      </c>
      <c r="B79" s="1" t="s">
        <v>1082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25">
        <f ca="1" t="shared" si="7"/>
        <v>16632.54662</v>
      </c>
      <c r="G79" s="25"/>
      <c r="I79" s="99"/>
    </row>
    <row r="80" spans="1:9" ht="12.75">
      <c r="A80" s="41">
        <v>76</v>
      </c>
      <c r="B80" s="1" t="s">
        <v>552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25">
        <f ca="1" t="shared" si="7"/>
        <v>2785.6417689</v>
      </c>
      <c r="G80" s="25"/>
      <c r="I80" s="99"/>
    </row>
    <row r="81" spans="1:9" ht="12.75">
      <c r="A81" s="41">
        <v>77</v>
      </c>
      <c r="B81" s="1" t="s">
        <v>546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25">
        <f ca="1" t="shared" si="11" ref="F81:F117">INDIRECT("vfor_"&amp;$B81)</f>
        <v>3525.1609721</v>
      </c>
      <c r="G81" s="25"/>
      <c r="I81" s="99"/>
    </row>
    <row r="82" spans="1:9" ht="12.75">
      <c r="A82" s="41">
        <v>78</v>
      </c>
      <c r="B82" s="1" t="s">
        <v>885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25">
        <f ca="1" t="shared" si="11"/>
        <v>739.5192032</v>
      </c>
      <c r="G82" s="25"/>
      <c r="I82" s="99"/>
    </row>
    <row r="83" spans="1:9" ht="12.75">
      <c r="A83" s="41">
        <v>79</v>
      </c>
      <c r="B83" s="1" t="s">
        <v>1052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25">
        <f ca="1" t="shared" si="11"/>
        <v>4162.20232</v>
      </c>
      <c r="G83" s="25"/>
      <c r="I83" s="99"/>
    </row>
    <row r="84" spans="1:9" ht="12.75">
      <c r="A84" s="41">
        <v>80</v>
      </c>
      <c r="B84" s="1" t="s">
        <v>1083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25">
        <f ca="1" t="shared" si="11"/>
        <v>9843.6576828</v>
      </c>
      <c r="G84" s="25"/>
      <c r="I84" s="99"/>
    </row>
    <row r="85" spans="1:9" ht="12.75">
      <c r="A85" s="41">
        <v>81</v>
      </c>
      <c r="B85" s="1" t="s">
        <v>383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25">
        <f ca="1" t="shared" si="11"/>
        <v>2070.9553800000003</v>
      </c>
      <c r="G85" s="25"/>
      <c r="I85" s="99"/>
    </row>
    <row r="86" spans="1:9" ht="12.75">
      <c r="A86" s="41">
        <v>82</v>
      </c>
      <c r="B86" s="1" t="s">
        <v>509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25">
        <f ca="1" t="shared" si="11"/>
        <v>2408.109124</v>
      </c>
      <c r="G86" s="25"/>
      <c r="I86" s="99"/>
    </row>
    <row r="87" spans="1:9" ht="12.75">
      <c r="A87" s="41">
        <v>83</v>
      </c>
      <c r="B87" s="1" t="s">
        <v>1063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25">
        <f ca="1" t="shared" si="11"/>
        <v>4701.744124000001</v>
      </c>
      <c r="G87" s="25"/>
      <c r="I87" s="99"/>
    </row>
    <row r="88" spans="1:9" ht="12.75">
      <c r="A88" s="41">
        <v>84</v>
      </c>
      <c r="B88" s="1" t="s">
        <v>384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25">
        <f ca="1" t="shared" si="11"/>
        <v>32671.287968800003</v>
      </c>
      <c r="G88" s="25"/>
      <c r="I88" s="99"/>
    </row>
    <row r="89" spans="1:9" ht="12.75">
      <c r="A89" s="41">
        <v>85</v>
      </c>
      <c r="B89" s="1" t="s">
        <v>385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25">
        <f ca="1" t="shared" si="11"/>
        <v>2285.8269999999998</v>
      </c>
      <c r="G89" s="25"/>
      <c r="I89" s="99"/>
    </row>
    <row r="90" spans="1:9" s="145" customFormat="1" ht="12.75">
      <c r="A90" s="291">
        <v>86</v>
      </c>
      <c r="B90" s="145" t="s">
        <v>387</v>
      </c>
      <c r="C90" s="145" t="str">
        <f ca="1" t="shared" si="8"/>
        <v>INSTALACION ELECTRICA</v>
      </c>
      <c r="D90" s="145" t="str">
        <f ca="1" t="shared" si="9"/>
        <v>Viv. unifamiliar 3 dorm.</v>
      </c>
      <c r="E90" s="22" t="str">
        <f ca="1" t="shared" si="10"/>
        <v>gl</v>
      </c>
      <c r="F90" s="292">
        <f ca="1" t="shared" si="11"/>
        <v>2745.0087000000003</v>
      </c>
      <c r="G90" s="292"/>
      <c r="I90" s="99"/>
    </row>
    <row r="91" spans="1:9" ht="12.75">
      <c r="A91" s="41">
        <v>87</v>
      </c>
      <c r="B91" s="1" t="s">
        <v>389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25">
        <f ca="1" t="shared" si="11"/>
        <v>48737.32898</v>
      </c>
      <c r="G91" s="25"/>
      <c r="I91" s="99"/>
    </row>
    <row r="92" spans="1:9" ht="12.75">
      <c r="A92" s="41">
        <v>88</v>
      </c>
      <c r="B92" s="1" t="s">
        <v>541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25">
        <f ca="1" t="shared" si="11"/>
        <v>2796.3851640000003</v>
      </c>
      <c r="G92" s="25"/>
      <c r="I92" s="99"/>
    </row>
    <row r="93" spans="1:9" ht="12.75">
      <c r="A93" s="41">
        <v>89</v>
      </c>
      <c r="B93" s="1" t="s">
        <v>390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25">
        <f ca="1" t="shared" si="11"/>
        <v>19.12569695</v>
      </c>
      <c r="G93" s="25"/>
      <c r="I93" s="99"/>
    </row>
    <row r="94" spans="1:9" ht="12.75">
      <c r="A94" s="41">
        <v>90</v>
      </c>
      <c r="B94" s="1" t="s">
        <v>392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25">
        <f ca="1" t="shared" si="11"/>
        <v>5.920211999999999</v>
      </c>
      <c r="G94" s="25"/>
      <c r="I94" s="99"/>
    </row>
    <row r="95" spans="1:9" ht="12.75">
      <c r="A95" s="41">
        <v>91</v>
      </c>
      <c r="B95" s="1" t="s">
        <v>393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25">
        <f ca="1" t="shared" si="11"/>
        <v>6.220812</v>
      </c>
      <c r="G95" s="25"/>
      <c r="I95" s="99"/>
    </row>
    <row r="96" spans="1:9" ht="12.75">
      <c r="A96" s="41">
        <v>92</v>
      </c>
      <c r="B96" s="1" t="s">
        <v>447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25">
        <f ca="1" t="shared" si="11"/>
        <v>25.2336855</v>
      </c>
      <c r="G96" s="25"/>
      <c r="I96" s="99"/>
    </row>
    <row r="97" spans="1:9" ht="12.75">
      <c r="A97" s="41">
        <v>93</v>
      </c>
      <c r="B97" s="1" t="s">
        <v>891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25">
        <f ca="1" t="shared" si="11"/>
        <v>14.940334</v>
      </c>
      <c r="G97" s="25"/>
      <c r="I97" s="99"/>
    </row>
    <row r="98" spans="1:9" ht="12.75">
      <c r="A98" s="41">
        <v>94</v>
      </c>
      <c r="B98" s="1" t="s">
        <v>892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25">
        <f ca="1" t="shared" si="11"/>
        <v>21.300661599999998</v>
      </c>
      <c r="G98" s="25"/>
      <c r="I98" s="99"/>
    </row>
    <row r="99" spans="1:9" ht="12.75">
      <c r="A99" s="41">
        <v>95</v>
      </c>
      <c r="B99" s="1" t="s">
        <v>893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25">
        <f ca="1" t="shared" si="11"/>
        <v>23.0868076</v>
      </c>
      <c r="G99" s="25"/>
      <c r="I99" s="99"/>
    </row>
    <row r="100" spans="1:9" ht="12.75">
      <c r="A100" s="41">
        <v>96</v>
      </c>
      <c r="B100" s="1" t="s">
        <v>394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25">
        <f ca="1" t="shared" si="11"/>
        <v>66.742145</v>
      </c>
      <c r="G100" s="25"/>
      <c r="I100" s="99"/>
    </row>
    <row r="101" spans="1:9" ht="12.75">
      <c r="A101" s="41">
        <v>97</v>
      </c>
      <c r="B101" s="1" t="s">
        <v>716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25">
        <f ca="1" t="shared" si="11"/>
        <v>11.93336006</v>
      </c>
      <c r="G101" s="25"/>
      <c r="I101" s="99"/>
    </row>
    <row r="102" spans="1:9" ht="12.75">
      <c r="A102" s="41">
        <v>98</v>
      </c>
      <c r="B102" s="1" t="s">
        <v>559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25">
        <f ca="1" t="shared" si="11"/>
        <v>89.77964</v>
      </c>
      <c r="G102" s="25"/>
      <c r="I102" s="99"/>
    </row>
    <row r="103" spans="1:9" ht="12.75">
      <c r="A103" s="41">
        <v>99</v>
      </c>
      <c r="B103" s="1" t="s">
        <v>719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25">
        <f ca="1" t="shared" si="11"/>
        <v>127.29110620000002</v>
      </c>
      <c r="G103" s="25"/>
      <c r="I103" s="99"/>
    </row>
    <row r="104" spans="1:9" ht="12.75">
      <c r="A104" s="41">
        <v>100</v>
      </c>
      <c r="B104" s="1" t="s">
        <v>720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25">
        <f ca="1" t="shared" si="11"/>
        <v>448.53638000000007</v>
      </c>
      <c r="G104" s="25"/>
      <c r="I104" s="99"/>
    </row>
    <row r="105" spans="1:9" ht="12.75">
      <c r="A105" s="41">
        <v>101</v>
      </c>
      <c r="B105" s="1" t="s">
        <v>721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25">
        <f ca="1" t="shared" si="11"/>
        <v>40.134550000000004</v>
      </c>
      <c r="G105" s="25"/>
      <c r="I105" s="99"/>
    </row>
    <row r="106" spans="1:9" ht="12.75">
      <c r="A106" s="41">
        <v>102</v>
      </c>
      <c r="B106" s="1" t="s">
        <v>723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25">
        <f ca="1" t="shared" si="11"/>
        <v>734.6143999999999</v>
      </c>
      <c r="G106" s="25"/>
      <c r="I106" s="99"/>
    </row>
    <row r="107" spans="1:9" ht="12.75">
      <c r="A107" s="41">
        <v>103</v>
      </c>
      <c r="B107" s="1" t="s">
        <v>897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25">
        <f ca="1" t="shared" si="11"/>
        <v>3.3510400000000002</v>
      </c>
      <c r="G107" s="25"/>
      <c r="I107" s="99"/>
    </row>
    <row r="108" spans="1:9" ht="12.75">
      <c r="A108" s="41">
        <v>104</v>
      </c>
      <c r="B108" s="1" t="s">
        <v>1050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25">
        <f ca="1" t="shared" si="11"/>
        <v>2319.4719999999998</v>
      </c>
      <c r="G108" s="25"/>
      <c r="I108" s="99"/>
    </row>
    <row r="109" spans="1:9" ht="12.75">
      <c r="A109" s="41">
        <v>105</v>
      </c>
      <c r="B109" s="1" t="s">
        <v>1054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25">
        <f ca="1" t="shared" si="11"/>
        <v>322.9662</v>
      </c>
      <c r="G109" s="25"/>
      <c r="I109" s="99"/>
    </row>
    <row r="110" spans="1:9" ht="12.75">
      <c r="A110" s="41">
        <v>106</v>
      </c>
      <c r="B110" s="1" t="s">
        <v>1085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25">
        <f ca="1" t="shared" si="11"/>
        <v>915.73605</v>
      </c>
      <c r="G110" s="25"/>
      <c r="I110" s="99"/>
    </row>
    <row r="111" spans="1:9" ht="12.75">
      <c r="A111" s="41">
        <v>107</v>
      </c>
      <c r="B111" s="1" t="s">
        <v>1107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25">
        <f ca="1" t="shared" si="11"/>
        <v>741.14798</v>
      </c>
      <c r="G111" s="25"/>
      <c r="I111" s="99"/>
    </row>
    <row r="112" spans="1:9" ht="12.75">
      <c r="A112" s="41">
        <v>108</v>
      </c>
      <c r="B112" s="1" t="s">
        <v>457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25">
        <f ca="1" t="shared" si="11"/>
        <v>109.6814822</v>
      </c>
      <c r="G112" s="25"/>
      <c r="I112" s="99"/>
    </row>
    <row r="113" spans="1:9" ht="12.75">
      <c r="A113" s="41">
        <v>109</v>
      </c>
      <c r="B113" s="1" t="s">
        <v>458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25">
        <f ca="1" t="shared" si="11"/>
        <v>101.31952882</v>
      </c>
      <c r="G113" s="25"/>
      <c r="I113" s="99"/>
    </row>
    <row r="114" spans="1:9" ht="12.75">
      <c r="A114" s="41">
        <v>110</v>
      </c>
      <c r="B114" s="1" t="s">
        <v>1047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25">
        <f ca="1" t="shared" si="11"/>
        <v>35657.744360000004</v>
      </c>
      <c r="G114" s="25"/>
      <c r="I114" s="99"/>
    </row>
    <row r="115" spans="1:9" ht="12.75">
      <c r="A115" s="41">
        <v>111</v>
      </c>
      <c r="B115" s="1" t="s">
        <v>467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25">
        <f ca="1" t="shared" si="11"/>
        <v>209.0997923</v>
      </c>
      <c r="G115" s="25"/>
      <c r="H115" s="25"/>
      <c r="I115" s="99"/>
    </row>
    <row r="116" spans="1:9" ht="12.75">
      <c r="A116" s="41">
        <v>112</v>
      </c>
      <c r="B116" s="1" t="s">
        <v>899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25">
        <f ca="1" t="shared" si="11"/>
        <v>179.4803385</v>
      </c>
      <c r="G116" s="25"/>
      <c r="H116" s="25"/>
      <c r="I116" s="99"/>
    </row>
    <row r="117" spans="1:9" ht="12.75">
      <c r="A117" s="41">
        <v>113</v>
      </c>
      <c r="B117" s="1" t="s">
        <v>470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25">
        <f ca="1" t="shared" si="11"/>
        <v>70.7892086</v>
      </c>
      <c r="G117" s="25"/>
      <c r="I117" s="99"/>
    </row>
    <row r="118" spans="1:9" ht="12.75">
      <c r="A118" s="41">
        <v>114</v>
      </c>
      <c r="B118" s="1" t="s">
        <v>473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97">
        <f ca="1" t="shared" si="15" ref="F118:F125">INDIRECT("vfor_"&amp;$B118)</f>
        <v>74312.70980299999</v>
      </c>
      <c r="G118" s="97">
        <v>14992.864</v>
      </c>
      <c r="I118" s="99"/>
    </row>
    <row r="119" spans="1:9" ht="12.75">
      <c r="A119" s="41">
        <v>115</v>
      </c>
      <c r="B119" s="1" t="s">
        <v>474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25">
        <f ca="1" t="shared" si="15"/>
        <v>15021.509610000001</v>
      </c>
      <c r="G119" s="25">
        <v>2120.642</v>
      </c>
      <c r="I119" s="99"/>
    </row>
    <row r="120" spans="1:9" ht="12.75">
      <c r="A120" s="41">
        <v>116</v>
      </c>
      <c r="B120" s="1" t="s">
        <v>476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25">
        <f ca="1" t="shared" si="15"/>
        <v>9286.06275</v>
      </c>
      <c r="G120" s="25">
        <v>1398.308</v>
      </c>
      <c r="I120" s="99"/>
    </row>
    <row r="121" spans="1:9" ht="12.75">
      <c r="A121" s="41">
        <v>117</v>
      </c>
      <c r="B121" s="1" t="s">
        <v>1002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25">
        <f ca="1" t="shared" si="15"/>
        <v>13455.40799</v>
      </c>
      <c r="G121" s="25">
        <v>2906.569</v>
      </c>
      <c r="I121" s="99"/>
    </row>
    <row r="122" spans="1:9" ht="12.75">
      <c r="A122" s="41">
        <v>118</v>
      </c>
      <c r="B122" s="1" t="s">
        <v>907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25">
        <f ca="1" t="shared" si="15"/>
        <v>65.345785</v>
      </c>
      <c r="G122" s="25"/>
      <c r="I122" s="99"/>
    </row>
    <row r="123" spans="1:9" ht="12.75">
      <c r="A123" s="41">
        <v>119</v>
      </c>
      <c r="B123" s="1" t="s">
        <v>909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25">
        <f ca="1" t="shared" si="15"/>
        <v>91.60124018719797</v>
      </c>
      <c r="G123" s="25"/>
      <c r="I123" s="99"/>
    </row>
    <row r="124" spans="1:9" ht="12.75">
      <c r="A124" s="41">
        <v>120</v>
      </c>
      <c r="B124" s="1" t="s">
        <v>908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25">
        <f ca="1" t="shared" si="15"/>
        <v>76.585946</v>
      </c>
      <c r="G124" s="25"/>
      <c r="I124" s="99"/>
    </row>
    <row r="125" spans="1:9" ht="12.75">
      <c r="A125" s="41">
        <v>121</v>
      </c>
      <c r="B125" s="1" t="s">
        <v>910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25">
        <f ca="1" t="shared" si="15"/>
        <v>23.2874078</v>
      </c>
      <c r="G125" s="25"/>
      <c r="I125" s="99"/>
    </row>
  </sheetData>
  <sheetProtection/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workbookViewId="0" topLeftCell="A58">
      <selection activeCell="F73" sqref="F7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>
      <c r="D1" s="60"/>
    </row>
    <row r="2" spans="1:7" ht="13.5" thickTop="1">
      <c r="A2" s="87" t="s">
        <v>1069</v>
      </c>
      <c r="B2" s="8" t="s">
        <v>360</v>
      </c>
      <c r="C2" s="89" t="str">
        <f>Fecha</f>
        <v>JUN/10</v>
      </c>
      <c r="D2" s="57"/>
      <c r="E2" s="57"/>
      <c r="F2" s="77">
        <f>SUM(F4:F14)</f>
        <v>215.6306</v>
      </c>
      <c r="G2" s="50"/>
    </row>
    <row r="3" spans="1:7" ht="13.5" thickBot="1">
      <c r="A3" s="7" t="s">
        <v>1068</v>
      </c>
      <c r="B3" s="7" t="s">
        <v>361</v>
      </c>
      <c r="C3" s="90" t="s">
        <v>1067</v>
      </c>
      <c r="D3" s="58" t="s">
        <v>406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200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60">
        <v>1.1</v>
      </c>
      <c r="E5" s="60">
        <f aca="true" t="shared" si="2" ref="E5:E10">VLOOKUP(A5,Insumos,4)</f>
        <v>9.4265</v>
      </c>
      <c r="F5" s="79">
        <f aca="true" t="shared" si="3" ref="F5:F10">(D5*E5)</f>
        <v>10.369150000000001</v>
      </c>
    </row>
    <row r="6" spans="1:6" ht="12.75">
      <c r="A6" s="3" t="s">
        <v>426</v>
      </c>
      <c r="B6" s="4" t="str">
        <f t="shared" si="0"/>
        <v>clavos P.P. 2"</v>
      </c>
      <c r="C6" s="6" t="str">
        <f t="shared" si="1"/>
        <v>kg</v>
      </c>
      <c r="D6" s="60">
        <v>0.3</v>
      </c>
      <c r="E6" s="60">
        <f t="shared" si="2"/>
        <v>5.876</v>
      </c>
      <c r="F6" s="79">
        <f t="shared" si="3"/>
        <v>1.7628000000000001</v>
      </c>
    </row>
    <row r="7" spans="1:6" ht="12.75">
      <c r="A7" s="3" t="s">
        <v>846</v>
      </c>
      <c r="B7" s="4" t="str">
        <f t="shared" si="0"/>
        <v>madera 1" pino nacional s/cepillar</v>
      </c>
      <c r="C7" s="6" t="str">
        <f t="shared" si="1"/>
        <v>m2</v>
      </c>
      <c r="D7" s="60">
        <v>1.2</v>
      </c>
      <c r="E7" s="60">
        <f t="shared" si="2"/>
        <v>33.735</v>
      </c>
      <c r="F7" s="79">
        <f t="shared" si="3"/>
        <v>40.482</v>
      </c>
    </row>
    <row r="8" spans="1:6" ht="12.75">
      <c r="A8" s="3" t="s">
        <v>309</v>
      </c>
      <c r="B8" s="4" t="str">
        <f>VLOOKUP(A8,'IN-06-10'!$A$5:$D$440,2)</f>
        <v>teja francesa</v>
      </c>
      <c r="C8" s="4" t="str">
        <f>VLOOKUP(A8,'IN-06-10'!$A$5:$D$440,3)</f>
        <v>u</v>
      </c>
      <c r="D8" s="60">
        <v>14</v>
      </c>
      <c r="E8" s="4">
        <f>VLOOKUP(A8,'IN-06-10'!$A$5:$D$440,4)</f>
        <v>1.4626</v>
      </c>
      <c r="F8" s="79">
        <f t="shared" si="3"/>
        <v>20.476399999999998</v>
      </c>
    </row>
    <row r="9" spans="1:6" ht="12.75">
      <c r="A9" s="3" t="s">
        <v>424</v>
      </c>
      <c r="B9" s="4" t="str">
        <f t="shared" si="0"/>
        <v>tirante pino 3x6"</v>
      </c>
      <c r="C9" s="6" t="str">
        <f t="shared" si="1"/>
        <v>m</v>
      </c>
      <c r="D9" s="60">
        <v>1.5</v>
      </c>
      <c r="E9" s="60">
        <f t="shared" si="2"/>
        <v>19.3255</v>
      </c>
      <c r="F9" s="79">
        <f t="shared" si="3"/>
        <v>28.98825</v>
      </c>
    </row>
    <row r="10" spans="1:6" ht="12.75">
      <c r="A10" s="3" t="s">
        <v>425</v>
      </c>
      <c r="B10" s="4" t="str">
        <f t="shared" si="0"/>
        <v>listones pino 1x2"</v>
      </c>
      <c r="C10" s="6" t="str">
        <f t="shared" si="1"/>
        <v>m</v>
      </c>
      <c r="D10" s="60">
        <v>1.8</v>
      </c>
      <c r="E10" s="60">
        <f t="shared" si="2"/>
        <v>1.82</v>
      </c>
      <c r="F10" s="79">
        <f t="shared" si="3"/>
        <v>3.2760000000000002</v>
      </c>
    </row>
    <row r="11" spans="1:6" ht="12.75">
      <c r="A11" s="94" t="s">
        <v>1074</v>
      </c>
      <c r="D11" s="60"/>
      <c r="E11" s="60"/>
      <c r="F11" s="79"/>
    </row>
    <row r="12" spans="1:6" ht="12.75">
      <c r="A12" s="3" t="s">
        <v>289</v>
      </c>
      <c r="B12" s="4" t="str">
        <f>VLOOKUP(A12,Insumos,2)</f>
        <v>cuadrilla tipo UOCRA</v>
      </c>
      <c r="C12" s="6" t="str">
        <f>VLOOKUP(A12,Insumos,3)</f>
        <v>h</v>
      </c>
      <c r="D12" s="60">
        <v>5</v>
      </c>
      <c r="E12" s="60">
        <f>VLOOKUP(A12,Insumos,4)</f>
        <v>21.86</v>
      </c>
      <c r="F12" s="79">
        <f>(D12*E12)</f>
        <v>109.3</v>
      </c>
    </row>
    <row r="13" spans="1:6" ht="12.75">
      <c r="A13" s="94" t="s">
        <v>1075</v>
      </c>
      <c r="D13" s="60"/>
      <c r="E13" s="60"/>
      <c r="F13" s="79"/>
    </row>
    <row r="14" spans="1:6" ht="12.75">
      <c r="A14" s="3" t="s">
        <v>290</v>
      </c>
      <c r="B14" s="4" t="str">
        <f>VLOOKUP(A14,Insumos,2)</f>
        <v>canasta 1 (camión volcador)</v>
      </c>
      <c r="C14" s="6" t="str">
        <f>VLOOKUP(A14,Insumos,3)</f>
        <v>h</v>
      </c>
      <c r="D14" s="60">
        <v>0.005</v>
      </c>
      <c r="E14" s="60">
        <f>VLOOKUP(A14,Insumos,4)</f>
        <v>195.2</v>
      </c>
      <c r="F14" s="79">
        <f>(D14*E14)</f>
        <v>0.976</v>
      </c>
    </row>
    <row r="15" ht="12.75">
      <c r="D15" s="60"/>
    </row>
    <row r="16" ht="13.5" thickBot="1">
      <c r="D16" s="60"/>
    </row>
    <row r="17" spans="1:7" ht="13.5" thickTop="1">
      <c r="A17" s="87" t="s">
        <v>1069</v>
      </c>
      <c r="B17" s="8" t="s">
        <v>901</v>
      </c>
      <c r="C17" s="89" t="str">
        <f>Fecha</f>
        <v>JUN/10</v>
      </c>
      <c r="D17" s="57"/>
      <c r="E17" s="57"/>
      <c r="F17" s="77">
        <f>SUM(F19:F30)</f>
        <v>84.21028</v>
      </c>
      <c r="G17" s="50"/>
    </row>
    <row r="18" spans="1:7" ht="13.5" thickBot="1">
      <c r="A18" s="7" t="s">
        <v>1068</v>
      </c>
      <c r="B18" s="7" t="s">
        <v>361</v>
      </c>
      <c r="C18" s="90" t="s">
        <v>1067</v>
      </c>
      <c r="D18" s="58" t="s">
        <v>496</v>
      </c>
      <c r="E18" s="59"/>
      <c r="F18" s="78"/>
      <c r="G18" s="51" t="s">
        <v>602</v>
      </c>
    </row>
    <row r="19" spans="1:6" ht="13.5" thickTop="1">
      <c r="A19" s="94" t="s">
        <v>1073</v>
      </c>
      <c r="D19" s="60"/>
      <c r="E19" s="60"/>
      <c r="F19" s="79"/>
    </row>
    <row r="20" spans="1:6" ht="12.75">
      <c r="A20" s="3" t="s">
        <v>738</v>
      </c>
      <c r="B20" s="4" t="str">
        <f aca="true" t="shared" si="4" ref="B20:B25">VLOOKUP(A20,Insumos,2)</f>
        <v>membrana s/aluminio 4 mm espesor</v>
      </c>
      <c r="C20" s="6" t="str">
        <f aca="true" t="shared" si="5" ref="C20:C25">VLOOKUP(A20,Insumos,3)</f>
        <v>m2</v>
      </c>
      <c r="D20" s="60">
        <v>1.1</v>
      </c>
      <c r="E20" s="60">
        <f aca="true" t="shared" si="6" ref="E20:E25">VLOOKUP(A20,Insumos,4)</f>
        <v>8.2571</v>
      </c>
      <c r="F20" s="79">
        <f aca="true" t="shared" si="7" ref="F20:F26">(D20*E20)</f>
        <v>9.08281</v>
      </c>
    </row>
    <row r="21" spans="1:6" ht="12.75">
      <c r="A21" s="3" t="s">
        <v>298</v>
      </c>
      <c r="B21" s="4" t="str">
        <f t="shared" si="4"/>
        <v>poliestireno expandido 20 mm</v>
      </c>
      <c r="C21" s="6" t="str">
        <f t="shared" si="5"/>
        <v>m2</v>
      </c>
      <c r="D21" s="60">
        <v>1.1</v>
      </c>
      <c r="E21" s="60">
        <f t="shared" si="6"/>
        <v>5.4545</v>
      </c>
      <c r="F21" s="79">
        <f t="shared" si="7"/>
        <v>5.999950000000001</v>
      </c>
    </row>
    <row r="22" spans="1:6" ht="12.75">
      <c r="A22" s="3" t="s">
        <v>292</v>
      </c>
      <c r="B22" s="4" t="str">
        <f t="shared" si="4"/>
        <v>cemento Portland</v>
      </c>
      <c r="C22" s="6" t="str">
        <f t="shared" si="5"/>
        <v>kg</v>
      </c>
      <c r="D22" s="60">
        <v>1.5</v>
      </c>
      <c r="E22" s="60">
        <f t="shared" si="6"/>
        <v>0.4787</v>
      </c>
      <c r="F22" s="79">
        <f t="shared" si="7"/>
        <v>0.7180500000000001</v>
      </c>
    </row>
    <row r="23" spans="1:6" ht="12.75">
      <c r="A23" s="3" t="s">
        <v>299</v>
      </c>
      <c r="B23" s="4" t="str">
        <f t="shared" si="4"/>
        <v>cal hidratada en bolsa</v>
      </c>
      <c r="C23" s="6" t="str">
        <f t="shared" si="5"/>
        <v>kg</v>
      </c>
      <c r="D23" s="60">
        <v>5.1</v>
      </c>
      <c r="E23" s="60">
        <f t="shared" si="6"/>
        <v>0.5035</v>
      </c>
      <c r="F23" s="79">
        <f t="shared" si="7"/>
        <v>2.5678499999999995</v>
      </c>
    </row>
    <row r="24" spans="1:6" ht="12.75">
      <c r="A24" s="3" t="s">
        <v>294</v>
      </c>
      <c r="B24" s="4" t="str">
        <f t="shared" si="4"/>
        <v>arena gruesa</v>
      </c>
      <c r="C24" s="6" t="str">
        <f t="shared" si="5"/>
        <v>m3</v>
      </c>
      <c r="D24" s="60">
        <v>0.045</v>
      </c>
      <c r="E24" s="60">
        <f t="shared" si="6"/>
        <v>51</v>
      </c>
      <c r="F24" s="79">
        <f t="shared" si="7"/>
        <v>2.295</v>
      </c>
    </row>
    <row r="25" spans="1:6" ht="12.75">
      <c r="A25" s="3" t="s">
        <v>308</v>
      </c>
      <c r="B25" s="4" t="str">
        <f t="shared" si="4"/>
        <v>pintura asfáltica base acuosa</v>
      </c>
      <c r="C25" s="6" t="str">
        <f t="shared" si="5"/>
        <v>l</v>
      </c>
      <c r="D25" s="60">
        <v>0.1</v>
      </c>
      <c r="E25" s="60">
        <f t="shared" si="6"/>
        <v>3.0762</v>
      </c>
      <c r="F25" s="79">
        <f t="shared" si="7"/>
        <v>0.30762</v>
      </c>
    </row>
    <row r="26" spans="1:6" ht="12.75">
      <c r="A26" s="3" t="s">
        <v>309</v>
      </c>
      <c r="B26" s="4" t="str">
        <f>VLOOKUP(A26,'IN-06-10'!$A$5:$D$440,2)</f>
        <v>teja francesa</v>
      </c>
      <c r="C26" s="4" t="str">
        <f>VLOOKUP(A26,'IN-06-10'!$A$5:$D$440,3)</f>
        <v>u</v>
      </c>
      <c r="D26" s="60">
        <v>15</v>
      </c>
      <c r="E26" s="4">
        <f>VLOOKUP(A26,'IN-06-10'!$A$5:$D$440,4)</f>
        <v>1.4626</v>
      </c>
      <c r="F26" s="79">
        <f t="shared" si="7"/>
        <v>21.939</v>
      </c>
    </row>
    <row r="27" spans="1:6" ht="12.75">
      <c r="A27" s="94" t="s">
        <v>1074</v>
      </c>
      <c r="D27" s="60"/>
      <c r="E27" s="60"/>
      <c r="F27" s="79"/>
    </row>
    <row r="28" spans="1:6" ht="12.75">
      <c r="A28" s="3" t="s">
        <v>289</v>
      </c>
      <c r="B28" s="4" t="str">
        <f>VLOOKUP(A28,Insumos,2)</f>
        <v>cuadrilla tipo UOCRA</v>
      </c>
      <c r="C28" s="6" t="str">
        <f>VLOOKUP(A28,Insumos,3)</f>
        <v>h</v>
      </c>
      <c r="D28" s="60">
        <v>1.8</v>
      </c>
      <c r="E28" s="60">
        <f>VLOOKUP(A28,Insumos,4)</f>
        <v>21.86</v>
      </c>
      <c r="F28" s="79">
        <f>(D28*E28)</f>
        <v>39.348</v>
      </c>
    </row>
    <row r="29" spans="1:6" ht="12.75">
      <c r="A29" s="94" t="s">
        <v>1075</v>
      </c>
      <c r="D29" s="60"/>
      <c r="E29" s="60"/>
      <c r="F29" s="79"/>
    </row>
    <row r="30" spans="1:6" ht="12.75">
      <c r="A30" s="3" t="s">
        <v>290</v>
      </c>
      <c r="B30" s="4" t="str">
        <f>VLOOKUP(A30,Insumos,2)</f>
        <v>canasta 1 (camión volcador)</v>
      </c>
      <c r="C30" s="6" t="str">
        <f>VLOOKUP(A30,Insumos,3)</f>
        <v>h</v>
      </c>
      <c r="D30" s="60">
        <v>0.01</v>
      </c>
      <c r="E30" s="60">
        <f>VLOOKUP(A30,Insumos,4)</f>
        <v>195.2</v>
      </c>
      <c r="F30" s="79">
        <f>(D30*E30)</f>
        <v>1.952</v>
      </c>
    </row>
    <row r="31" ht="13.5" thickBot="1">
      <c r="D31" s="60"/>
    </row>
    <row r="32" spans="1:7" ht="13.5" thickTop="1">
      <c r="A32" s="87" t="s">
        <v>1069</v>
      </c>
      <c r="B32" s="8" t="s">
        <v>362</v>
      </c>
      <c r="C32" s="89" t="str">
        <f>Fecha</f>
        <v>JUN/10</v>
      </c>
      <c r="D32" s="57"/>
      <c r="E32" s="57"/>
      <c r="F32" s="77">
        <f>SUM(F34:F40)</f>
        <v>152.12498399999998</v>
      </c>
      <c r="G32" s="50"/>
    </row>
    <row r="33" spans="1:7" ht="13.5" thickBot="1">
      <c r="A33" s="7" t="s">
        <v>1068</v>
      </c>
      <c r="B33" s="7" t="s">
        <v>361</v>
      </c>
      <c r="C33" s="90" t="s">
        <v>1067</v>
      </c>
      <c r="D33" s="58" t="s">
        <v>427</v>
      </c>
      <c r="E33" s="59"/>
      <c r="F33" s="78"/>
      <c r="G33" s="51" t="s">
        <v>602</v>
      </c>
    </row>
    <row r="34" spans="1:6" ht="13.5" thickTop="1">
      <c r="A34" s="94" t="s">
        <v>1073</v>
      </c>
      <c r="D34" s="60"/>
      <c r="E34" s="60"/>
      <c r="F34" s="79"/>
    </row>
    <row r="35" spans="1:6" ht="12.75">
      <c r="A35" s="3" t="s">
        <v>297</v>
      </c>
      <c r="B35" s="4" t="str">
        <f>VLOOKUP(A35,Insumos,2)</f>
        <v>chapa de hierro N°16 DD de 1 x 2 m.</v>
      </c>
      <c r="C35" s="6" t="str">
        <f>VLOOKUP(A35,Insumos,3)</f>
        <v>kg</v>
      </c>
      <c r="D35" s="60">
        <v>6</v>
      </c>
      <c r="E35" s="60">
        <f>VLOOKUP(A35,Insumos,4)</f>
        <v>5.3509</v>
      </c>
      <c r="F35" s="79">
        <f>(D35*E35)</f>
        <v>32.1054</v>
      </c>
    </row>
    <row r="36" spans="1:6" ht="12.75">
      <c r="A36" s="3" t="s">
        <v>310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60">
        <v>0.73</v>
      </c>
      <c r="E36" s="60">
        <f>VLOOKUP(A36,Insumos,4)</f>
        <v>71.9008</v>
      </c>
      <c r="F36" s="79">
        <f>(D36*E36)</f>
        <v>52.487584</v>
      </c>
    </row>
    <row r="37" spans="1:6" ht="12.75">
      <c r="A37" s="94" t="s">
        <v>1074</v>
      </c>
      <c r="D37" s="60"/>
      <c r="E37" s="60"/>
      <c r="F37" s="79"/>
    </row>
    <row r="38" spans="1:6" ht="12.75">
      <c r="A38" s="3" t="s">
        <v>289</v>
      </c>
      <c r="B38" s="4" t="str">
        <f>VLOOKUP(A38,Insumos,2)</f>
        <v>cuadrilla tipo UOCRA</v>
      </c>
      <c r="C38" s="6" t="str">
        <f>VLOOKUP(A38,Insumos,3)</f>
        <v>h</v>
      </c>
      <c r="D38" s="60">
        <v>3</v>
      </c>
      <c r="E38" s="60">
        <f>VLOOKUP(A38,Insumos,4)</f>
        <v>21.86</v>
      </c>
      <c r="F38" s="79">
        <f>(D38*E38)</f>
        <v>65.58</v>
      </c>
    </row>
    <row r="39" spans="1:6" ht="12.75">
      <c r="A39" s="94" t="s">
        <v>1075</v>
      </c>
      <c r="D39" s="60"/>
      <c r="E39" s="60"/>
      <c r="F39" s="79"/>
    </row>
    <row r="40" spans="1:6" ht="12.75">
      <c r="A40" s="3" t="s">
        <v>290</v>
      </c>
      <c r="B40" s="4" t="str">
        <f>VLOOKUP(A40,Insumos,2)</f>
        <v>canasta 1 (camión volcador)</v>
      </c>
      <c r="C40" s="6" t="str">
        <f>VLOOKUP(A40,Insumos,3)</f>
        <v>h</v>
      </c>
      <c r="D40" s="60">
        <v>0.01</v>
      </c>
      <c r="E40" s="60">
        <f>VLOOKUP(A40,Insumos,4)</f>
        <v>195.2</v>
      </c>
      <c r="F40" s="79">
        <f>(D40*E40)</f>
        <v>1.952</v>
      </c>
    </row>
    <row r="41" ht="13.5" thickBot="1">
      <c r="D41" s="60"/>
    </row>
    <row r="42" spans="1:7" ht="13.5" thickTop="1">
      <c r="A42" s="87" t="s">
        <v>1069</v>
      </c>
      <c r="B42" s="8" t="s">
        <v>363</v>
      </c>
      <c r="C42" s="89" t="str">
        <f>Fecha</f>
        <v>JUN/10</v>
      </c>
      <c r="D42" s="57"/>
      <c r="E42" s="57"/>
      <c r="F42" s="77">
        <f>SUM(F44:F50)</f>
        <v>135.563015</v>
      </c>
      <c r="G42" s="50"/>
    </row>
    <row r="43" spans="1:7" ht="13.5" thickBot="1">
      <c r="A43" s="7" t="s">
        <v>1068</v>
      </c>
      <c r="B43" s="7" t="s">
        <v>361</v>
      </c>
      <c r="C43" s="90" t="s">
        <v>1067</v>
      </c>
      <c r="D43" s="58" t="s">
        <v>428</v>
      </c>
      <c r="E43" s="59"/>
      <c r="F43" s="78"/>
      <c r="G43" s="51" t="s">
        <v>602</v>
      </c>
    </row>
    <row r="44" spans="1:6" ht="13.5" thickTop="1">
      <c r="A44" s="94" t="s">
        <v>1073</v>
      </c>
      <c r="D44" s="60"/>
      <c r="E44" s="60"/>
      <c r="F44" s="79"/>
    </row>
    <row r="45" spans="1:6" ht="12.75">
      <c r="A45" s="3" t="s">
        <v>297</v>
      </c>
      <c r="B45" s="4" t="str">
        <f>VLOOKUP(A45,Insumos,2)</f>
        <v>chapa de hierro N°16 DD de 1 x 2 m.</v>
      </c>
      <c r="C45" s="6" t="str">
        <f>VLOOKUP(A45,Insumos,3)</f>
        <v>kg</v>
      </c>
      <c r="D45" s="60">
        <v>6</v>
      </c>
      <c r="E45" s="60">
        <f>VLOOKUP(A45,Insumos,4)</f>
        <v>5.3509</v>
      </c>
      <c r="F45" s="79">
        <f>(D45*E45)</f>
        <v>32.1054</v>
      </c>
    </row>
    <row r="46" spans="1:6" ht="12.75">
      <c r="A46" s="3" t="s">
        <v>311</v>
      </c>
      <c r="B46" s="4" t="str">
        <f>VLOOKUP(A46,Insumos,2)</f>
        <v>chapa H°G° N°27, 3.05 x 1.10 m.</v>
      </c>
      <c r="C46" s="6" t="str">
        <f>VLOOKUP(A46,Insumos,3)</f>
        <v>u</v>
      </c>
      <c r="D46" s="60">
        <v>0.45</v>
      </c>
      <c r="E46" s="60">
        <f>VLOOKUP(A46,Insumos,4)</f>
        <v>79.8347</v>
      </c>
      <c r="F46" s="79">
        <f>(D46*E46)</f>
        <v>35.925615</v>
      </c>
    </row>
    <row r="47" spans="1:6" ht="12.75">
      <c r="A47" s="94" t="s">
        <v>1074</v>
      </c>
      <c r="D47" s="60"/>
      <c r="E47" s="60"/>
      <c r="F47" s="79"/>
    </row>
    <row r="48" spans="1:6" ht="12.75">
      <c r="A48" s="3" t="s">
        <v>289</v>
      </c>
      <c r="B48" s="4" t="str">
        <f>VLOOKUP(A48,Insumos,2)</f>
        <v>cuadrilla tipo UOCRA</v>
      </c>
      <c r="C48" s="6" t="str">
        <f>VLOOKUP(A48,Insumos,3)</f>
        <v>h</v>
      </c>
      <c r="D48" s="60">
        <v>3</v>
      </c>
      <c r="E48" s="60">
        <f>VLOOKUP(A48,Insumos,4)</f>
        <v>21.86</v>
      </c>
      <c r="F48" s="79">
        <f>(D48*E48)</f>
        <v>65.58</v>
      </c>
    </row>
    <row r="49" spans="1:6" ht="12.75">
      <c r="A49" s="94" t="s">
        <v>1075</v>
      </c>
      <c r="D49" s="60"/>
      <c r="E49" s="60"/>
      <c r="F49" s="79"/>
    </row>
    <row r="50" spans="1:6" ht="12.75">
      <c r="A50" s="3" t="s">
        <v>290</v>
      </c>
      <c r="B50" s="4" t="str">
        <f>VLOOKUP(A50,Insumos,2)</f>
        <v>canasta 1 (camión volcador)</v>
      </c>
      <c r="C50" s="6" t="str">
        <f>VLOOKUP(A50,Insumos,3)</f>
        <v>h</v>
      </c>
      <c r="D50" s="60">
        <v>0.01</v>
      </c>
      <c r="E50" s="60">
        <f>VLOOKUP(A50,Insumos,4)</f>
        <v>195.2</v>
      </c>
      <c r="F50" s="79">
        <f>(D50*E50)</f>
        <v>1.952</v>
      </c>
    </row>
    <row r="51" ht="13.5" thickBot="1">
      <c r="D51" s="60"/>
    </row>
    <row r="52" spans="1:7" ht="13.5" thickTop="1">
      <c r="A52" s="87" t="s">
        <v>1069</v>
      </c>
      <c r="B52" s="8" t="s">
        <v>364</v>
      </c>
      <c r="C52" s="89" t="str">
        <f>Fecha</f>
        <v>JUN/10</v>
      </c>
      <c r="D52" s="57"/>
      <c r="E52" s="57"/>
      <c r="F52" s="77">
        <f>SUM(F54:F61)</f>
        <v>127.331565</v>
      </c>
      <c r="G52" s="50"/>
    </row>
    <row r="53" spans="1:7" ht="13.5" thickBot="1">
      <c r="A53" s="7" t="s">
        <v>1068</v>
      </c>
      <c r="B53" s="7" t="s">
        <v>361</v>
      </c>
      <c r="C53" s="90" t="s">
        <v>1067</v>
      </c>
      <c r="D53" s="58" t="s">
        <v>429</v>
      </c>
      <c r="E53" s="59"/>
      <c r="F53" s="78"/>
      <c r="G53" s="51" t="s">
        <v>602</v>
      </c>
    </row>
    <row r="54" spans="1:6" ht="13.5" thickTop="1">
      <c r="A54" s="94" t="s">
        <v>1073</v>
      </c>
      <c r="D54" s="60"/>
      <c r="E54" s="60"/>
      <c r="F54" s="79"/>
    </row>
    <row r="55" spans="1:6" ht="12.75">
      <c r="A55" s="3" t="s">
        <v>430</v>
      </c>
      <c r="B55" s="4" t="str">
        <f>VLOOKUP(A55,Insumos,2)</f>
        <v>tirante pino 2x3"</v>
      </c>
      <c r="C55" s="6" t="str">
        <f>VLOOKUP(A55,Insumos,3)</f>
        <v>m</v>
      </c>
      <c r="D55" s="60">
        <v>1.1</v>
      </c>
      <c r="E55" s="60">
        <f>VLOOKUP(A55,Insumos,4)</f>
        <v>6.3695</v>
      </c>
      <c r="F55" s="79">
        <f>(D55*E55)</f>
        <v>7.006450000000001</v>
      </c>
    </row>
    <row r="56" spans="1:6" ht="12.75">
      <c r="A56" s="3" t="s">
        <v>311</v>
      </c>
      <c r="B56" s="4" t="str">
        <f>VLOOKUP(A56,Insumos,2)</f>
        <v>chapa H°G° N°27, 3.05 x 1.10 m.</v>
      </c>
      <c r="C56" s="6" t="str">
        <f>VLOOKUP(A56,Insumos,3)</f>
        <v>u</v>
      </c>
      <c r="D56" s="60">
        <v>0.45</v>
      </c>
      <c r="E56" s="60">
        <f>VLOOKUP(A56,Insumos,4)</f>
        <v>79.8347</v>
      </c>
      <c r="F56" s="79">
        <f>(D56*E56)</f>
        <v>35.925615</v>
      </c>
    </row>
    <row r="57" spans="1:6" ht="12.75">
      <c r="A57" s="3" t="s">
        <v>846</v>
      </c>
      <c r="B57" s="4" t="str">
        <f>VLOOKUP(A57,Insumos,2)</f>
        <v>madera 1" pino nacional s/cepillar</v>
      </c>
      <c r="C57" s="6" t="str">
        <f>VLOOKUP(A57,Insumos,3)</f>
        <v>m2</v>
      </c>
      <c r="D57" s="60">
        <v>0.5</v>
      </c>
      <c r="E57" s="60">
        <f>VLOOKUP(A57,Insumos,4)</f>
        <v>33.735</v>
      </c>
      <c r="F57" s="79">
        <f>(D57*E57)</f>
        <v>16.8675</v>
      </c>
    </row>
    <row r="58" spans="1:6" ht="12.75">
      <c r="A58" s="94" t="s">
        <v>1074</v>
      </c>
      <c r="D58" s="60"/>
      <c r="E58" s="60"/>
      <c r="F58" s="79"/>
    </row>
    <row r="59" spans="1:6" ht="12.75">
      <c r="A59" s="3" t="s">
        <v>289</v>
      </c>
      <c r="B59" s="4" t="str">
        <f>VLOOKUP(A59,Insumos,2)</f>
        <v>cuadrilla tipo UOCRA</v>
      </c>
      <c r="C59" s="6" t="str">
        <f>VLOOKUP(A59,Insumos,3)</f>
        <v>h</v>
      </c>
      <c r="D59" s="60">
        <v>3</v>
      </c>
      <c r="E59" s="60">
        <f>VLOOKUP(A59,Insumos,4)</f>
        <v>21.86</v>
      </c>
      <c r="F59" s="79">
        <f>(D59*E59)</f>
        <v>65.58</v>
      </c>
    </row>
    <row r="60" spans="1:6" ht="12.75">
      <c r="A60" s="94" t="s">
        <v>1075</v>
      </c>
      <c r="D60" s="60"/>
      <c r="E60" s="60"/>
      <c r="F60" s="79"/>
    </row>
    <row r="61" spans="1:6" ht="12.75">
      <c r="A61" s="3" t="s">
        <v>290</v>
      </c>
      <c r="B61" s="4" t="str">
        <f>VLOOKUP(A61,Insumos,2)</f>
        <v>canasta 1 (camión volcador)</v>
      </c>
      <c r="C61" s="6" t="str">
        <f>VLOOKUP(A61,Insumos,3)</f>
        <v>h</v>
      </c>
      <c r="D61" s="60">
        <v>0.01</v>
      </c>
      <c r="E61" s="60">
        <f>VLOOKUP(A61,Insumos,4)</f>
        <v>195.2</v>
      </c>
      <c r="F61" s="79">
        <f>(D61*E61)</f>
        <v>1.952</v>
      </c>
    </row>
    <row r="62" ht="13.5" thickBot="1">
      <c r="D62" s="60"/>
    </row>
    <row r="63" spans="1:7" ht="13.5" thickTop="1">
      <c r="A63" s="87" t="s">
        <v>1069</v>
      </c>
      <c r="B63" s="8" t="s">
        <v>365</v>
      </c>
      <c r="C63" s="89" t="str">
        <f>Fecha</f>
        <v>JUN/10</v>
      </c>
      <c r="D63" s="57"/>
      <c r="E63" s="57"/>
      <c r="F63" s="77">
        <f>SUM(F65:F77)</f>
        <v>650.2803149999999</v>
      </c>
      <c r="G63" s="50"/>
    </row>
    <row r="64" spans="1:7" ht="13.5" thickBot="1">
      <c r="A64" s="7" t="s">
        <v>1068</v>
      </c>
      <c r="B64" s="7" t="s">
        <v>361</v>
      </c>
      <c r="C64" s="90" t="s">
        <v>1067</v>
      </c>
      <c r="D64" s="58" t="s">
        <v>407</v>
      </c>
      <c r="E64" s="59"/>
      <c r="F64" s="78"/>
      <c r="G64" s="51" t="s">
        <v>602</v>
      </c>
    </row>
    <row r="65" spans="1:6" ht="13.5" thickTop="1">
      <c r="A65" s="94" t="s">
        <v>1073</v>
      </c>
      <c r="D65" s="60"/>
      <c r="E65" s="60"/>
      <c r="F65" s="79"/>
    </row>
    <row r="66" spans="1:6" ht="12.75">
      <c r="A66" s="3" t="s">
        <v>292</v>
      </c>
      <c r="B66" s="4" t="str">
        <f aca="true" t="shared" si="8" ref="B66:B72">VLOOKUP(A66,Insumos,2)</f>
        <v>cemento Portland</v>
      </c>
      <c r="C66" s="6" t="str">
        <f aca="true" t="shared" si="9" ref="C66:C72">VLOOKUP(A66,Insumos,3)</f>
        <v>kg</v>
      </c>
      <c r="D66" s="60">
        <v>12</v>
      </c>
      <c r="E66" s="60">
        <f aca="true" t="shared" si="10" ref="E66:E72">VLOOKUP(A66,Insumos,4)</f>
        <v>0.4787</v>
      </c>
      <c r="F66" s="79">
        <f aca="true" t="shared" si="11" ref="F66:F73">(D66*E66)</f>
        <v>5.744400000000001</v>
      </c>
    </row>
    <row r="67" spans="1:6" ht="12.75">
      <c r="A67" s="3" t="s">
        <v>299</v>
      </c>
      <c r="B67" s="4" t="str">
        <f t="shared" si="8"/>
        <v>cal hidratada en bolsa</v>
      </c>
      <c r="C67" s="6" t="str">
        <f t="shared" si="9"/>
        <v>kg</v>
      </c>
      <c r="D67" s="60">
        <v>8</v>
      </c>
      <c r="E67" s="60">
        <f t="shared" si="10"/>
        <v>0.5035</v>
      </c>
      <c r="F67" s="79">
        <f t="shared" si="11"/>
        <v>4.028</v>
      </c>
    </row>
    <row r="68" spans="1:6" ht="12.75">
      <c r="A68" s="3" t="s">
        <v>738</v>
      </c>
      <c r="B68" s="4" t="str">
        <f t="shared" si="8"/>
        <v>membrana s/aluminio 4 mm espesor</v>
      </c>
      <c r="C68" s="6" t="str">
        <f t="shared" si="9"/>
        <v>m2</v>
      </c>
      <c r="D68" s="60">
        <v>1.1</v>
      </c>
      <c r="E68" s="60">
        <f t="shared" si="10"/>
        <v>8.2571</v>
      </c>
      <c r="F68" s="79">
        <f t="shared" si="11"/>
        <v>9.08281</v>
      </c>
    </row>
    <row r="69" spans="1:6" ht="12.75">
      <c r="A69" s="3" t="s">
        <v>308</v>
      </c>
      <c r="B69" s="4" t="str">
        <f t="shared" si="8"/>
        <v>pintura asfáltica base acuosa</v>
      </c>
      <c r="C69" s="6" t="str">
        <f t="shared" si="9"/>
        <v>l</v>
      </c>
      <c r="D69" s="60">
        <v>0.4</v>
      </c>
      <c r="E69" s="60">
        <f t="shared" si="10"/>
        <v>3.0762</v>
      </c>
      <c r="F69" s="79">
        <f t="shared" si="11"/>
        <v>1.23048</v>
      </c>
    </row>
    <row r="70" spans="1:6" ht="12.75">
      <c r="A70" s="3" t="s">
        <v>298</v>
      </c>
      <c r="B70" s="4" t="str">
        <f t="shared" si="8"/>
        <v>poliestireno expandido 20 mm</v>
      </c>
      <c r="C70" s="6" t="str">
        <f t="shared" si="9"/>
        <v>m2</v>
      </c>
      <c r="D70" s="60">
        <v>1.05</v>
      </c>
      <c r="E70" s="60">
        <f t="shared" si="10"/>
        <v>5.4545</v>
      </c>
      <c r="F70" s="79">
        <f t="shared" si="11"/>
        <v>5.727225000000001</v>
      </c>
    </row>
    <row r="71" spans="1:6" ht="12.75">
      <c r="A71" s="3" t="s">
        <v>304</v>
      </c>
      <c r="B71" s="4" t="str">
        <f t="shared" si="8"/>
        <v>ripiosa</v>
      </c>
      <c r="C71" s="6" t="str">
        <f t="shared" si="9"/>
        <v>m3</v>
      </c>
      <c r="D71" s="60">
        <v>0.13</v>
      </c>
      <c r="E71" s="60">
        <f t="shared" si="10"/>
        <v>48</v>
      </c>
      <c r="F71" s="79">
        <f t="shared" si="11"/>
        <v>6.24</v>
      </c>
    </row>
    <row r="72" spans="1:6" ht="12.75">
      <c r="A72" s="3" t="s">
        <v>294</v>
      </c>
      <c r="B72" s="4" t="str">
        <f t="shared" si="8"/>
        <v>arena gruesa</v>
      </c>
      <c r="C72" s="6" t="str">
        <f t="shared" si="9"/>
        <v>m3</v>
      </c>
      <c r="D72" s="60">
        <v>0.025</v>
      </c>
      <c r="E72" s="60">
        <f t="shared" si="10"/>
        <v>51</v>
      </c>
      <c r="F72" s="79">
        <f t="shared" si="11"/>
        <v>1.2750000000000001</v>
      </c>
    </row>
    <row r="73" spans="1:6" ht="12.75">
      <c r="A73" s="350" t="s">
        <v>312</v>
      </c>
      <c r="B73" s="351" t="str">
        <f>VLOOKUP(A73,'IN-06-10'!$A$5:$D$440,2)</f>
        <v>baldosa roja 20x20 tipo azotea</v>
      </c>
      <c r="C73" s="351" t="str">
        <f>VLOOKUP(A73,'IN-06-10'!$A$5:$D$440,3)</f>
        <v>m1</v>
      </c>
      <c r="D73" s="352">
        <v>25</v>
      </c>
      <c r="E73" s="351">
        <f>VLOOKUP(A73,'IN-06-10'!$A$5:$D$440,4)</f>
        <v>20.76</v>
      </c>
      <c r="F73" s="353">
        <f t="shared" si="11"/>
        <v>519</v>
      </c>
    </row>
    <row r="74" spans="1:6" ht="12.75">
      <c r="A74" s="94" t="s">
        <v>1074</v>
      </c>
      <c r="D74" s="60"/>
      <c r="E74" s="60"/>
      <c r="F74" s="79"/>
    </row>
    <row r="75" spans="1:6" ht="12.75">
      <c r="A75" s="3" t="s">
        <v>289</v>
      </c>
      <c r="B75" s="4" t="str">
        <f>VLOOKUP(A75,Insumos,2)</f>
        <v>cuadrilla tipo UOCRA</v>
      </c>
      <c r="C75" s="6" t="str">
        <f>VLOOKUP(A75,Insumos,3)</f>
        <v>h</v>
      </c>
      <c r="D75" s="60">
        <v>4</v>
      </c>
      <c r="E75" s="60">
        <f>VLOOKUP(A75,Insumos,4)</f>
        <v>21.86</v>
      </c>
      <c r="F75" s="79">
        <f>(D75*E75)</f>
        <v>87.44</v>
      </c>
    </row>
    <row r="76" spans="1:6" ht="12.75">
      <c r="A76" s="94" t="s">
        <v>1075</v>
      </c>
      <c r="D76" s="60"/>
      <c r="E76" s="60"/>
      <c r="F76" s="79"/>
    </row>
    <row r="77" spans="1:6" ht="12.75">
      <c r="A77" s="3" t="s">
        <v>295</v>
      </c>
      <c r="B77" s="4" t="str">
        <f>VLOOKUP(A77,Insumos,2)</f>
        <v>canasta 2 (mixer 5m3)</v>
      </c>
      <c r="C77" s="6" t="str">
        <f>VLOOKUP(A77,Insumos,3)</f>
        <v>h</v>
      </c>
      <c r="D77" s="60">
        <v>0.04</v>
      </c>
      <c r="E77" s="60">
        <f>VLOOKUP(A77,Insumos,4)</f>
        <v>262.81</v>
      </c>
      <c r="F77" s="79">
        <f>(D77*E77)</f>
        <v>10.5124</v>
      </c>
    </row>
    <row r="78" spans="1:6" ht="12.75">
      <c r="A78" s="3"/>
      <c r="B78" s="4"/>
      <c r="C78" s="6"/>
      <c r="D78" s="60"/>
      <c r="E78" s="60"/>
      <c r="F78" s="79"/>
    </row>
    <row r="79" ht="13.5" thickBot="1">
      <c r="D79" s="60"/>
    </row>
    <row r="80" spans="1:7" ht="13.5" thickTop="1">
      <c r="A80" s="87" t="s">
        <v>1069</v>
      </c>
      <c r="B80" s="8" t="s">
        <v>366</v>
      </c>
      <c r="C80" s="89" t="str">
        <f>Fecha</f>
        <v>JUN/10</v>
      </c>
      <c r="D80" s="57"/>
      <c r="E80" s="57"/>
      <c r="F80" s="77">
        <f>SUM(F82:F93)</f>
        <v>203.11427000000003</v>
      </c>
      <c r="G80" s="50"/>
    </row>
    <row r="81" spans="1:7" ht="13.5" thickBot="1">
      <c r="A81" s="7" t="s">
        <v>1068</v>
      </c>
      <c r="B81" s="7" t="s">
        <v>361</v>
      </c>
      <c r="C81" s="90" t="s">
        <v>1067</v>
      </c>
      <c r="D81" s="58" t="s">
        <v>408</v>
      </c>
      <c r="E81" s="59"/>
      <c r="F81" s="78"/>
      <c r="G81" s="51" t="s">
        <v>602</v>
      </c>
    </row>
    <row r="82" spans="1:6" ht="13.5" thickTop="1">
      <c r="A82" s="94" t="s">
        <v>1073</v>
      </c>
      <c r="D82" s="60"/>
      <c r="E82" s="60"/>
      <c r="F82" s="79"/>
    </row>
    <row r="83" spans="1:6" ht="12.75">
      <c r="A83" s="3" t="s">
        <v>292</v>
      </c>
      <c r="B83" s="4" t="str">
        <f aca="true" t="shared" si="12" ref="B83:B89">VLOOKUP(A83,Insumos,2)</f>
        <v>cemento Portland</v>
      </c>
      <c r="C83" s="6" t="str">
        <f aca="true" t="shared" si="13" ref="C83:C89">VLOOKUP(A83,Insumos,3)</f>
        <v>kg</v>
      </c>
      <c r="D83" s="60">
        <v>25</v>
      </c>
      <c r="E83" s="60">
        <f aca="true" t="shared" si="14" ref="E83:E89">VLOOKUP(A83,Insumos,4)</f>
        <v>0.4787</v>
      </c>
      <c r="F83" s="79">
        <f aca="true" t="shared" si="15" ref="F83:F89">(D83*E83)</f>
        <v>11.967500000000001</v>
      </c>
    </row>
    <row r="84" spans="1:6" ht="12.75">
      <c r="A84" s="3" t="s">
        <v>291</v>
      </c>
      <c r="B84" s="4" t="str">
        <f t="shared" si="12"/>
        <v>hierro mejorado de 10 mm.</v>
      </c>
      <c r="C84" s="6" t="str">
        <f t="shared" si="13"/>
        <v>kg</v>
      </c>
      <c r="D84" s="60">
        <v>1.5</v>
      </c>
      <c r="E84" s="60">
        <f t="shared" si="14"/>
        <v>4.1892</v>
      </c>
      <c r="F84" s="79">
        <f t="shared" si="15"/>
        <v>6.283799999999999</v>
      </c>
    </row>
    <row r="85" spans="1:6" ht="12.75">
      <c r="A85" s="3" t="s">
        <v>293</v>
      </c>
      <c r="B85" s="4" t="str">
        <f t="shared" si="12"/>
        <v>ripio zarandeado 1/3</v>
      </c>
      <c r="C85" s="6" t="str">
        <f t="shared" si="13"/>
        <v>m3</v>
      </c>
      <c r="D85" s="60">
        <v>0.05</v>
      </c>
      <c r="E85" s="60">
        <f t="shared" si="14"/>
        <v>45.5</v>
      </c>
      <c r="F85" s="79">
        <f t="shared" si="15"/>
        <v>2.275</v>
      </c>
    </row>
    <row r="86" spans="1:6" ht="12.75">
      <c r="A86" s="3" t="s">
        <v>294</v>
      </c>
      <c r="B86" s="4" t="str">
        <f t="shared" si="12"/>
        <v>arena gruesa</v>
      </c>
      <c r="C86" s="6" t="str">
        <f t="shared" si="13"/>
        <v>m3</v>
      </c>
      <c r="D86" s="60">
        <v>0.04</v>
      </c>
      <c r="E86" s="60">
        <f t="shared" si="14"/>
        <v>51</v>
      </c>
      <c r="F86" s="79">
        <f t="shared" si="15"/>
        <v>2.04</v>
      </c>
    </row>
    <row r="87" spans="1:6" ht="12.75">
      <c r="A87" s="3" t="s">
        <v>313</v>
      </c>
      <c r="B87" s="4" t="str">
        <f t="shared" si="12"/>
        <v>bovedilla cerámica para viguetas 12,5x40x25</v>
      </c>
      <c r="C87" s="6" t="str">
        <f t="shared" si="13"/>
        <v>u</v>
      </c>
      <c r="D87" s="60">
        <v>8</v>
      </c>
      <c r="E87" s="60">
        <f t="shared" si="14"/>
        <v>2.6883</v>
      </c>
      <c r="F87" s="79">
        <f t="shared" si="15"/>
        <v>21.5064</v>
      </c>
    </row>
    <row r="88" spans="1:6" ht="12.75">
      <c r="A88" s="3" t="s">
        <v>431</v>
      </c>
      <c r="B88" s="4" t="str">
        <f t="shared" si="12"/>
        <v>malla Sima Q92</v>
      </c>
      <c r="C88" s="6" t="str">
        <f t="shared" si="13"/>
        <v>kg</v>
      </c>
      <c r="D88" s="60">
        <v>1.3</v>
      </c>
      <c r="E88" s="60">
        <f t="shared" si="14"/>
        <v>4.8425</v>
      </c>
      <c r="F88" s="79">
        <f t="shared" si="15"/>
        <v>6.29525</v>
      </c>
    </row>
    <row r="89" spans="1:6" ht="12.75">
      <c r="A89" s="3" t="s">
        <v>314</v>
      </c>
      <c r="B89" s="4" t="str">
        <f t="shared" si="12"/>
        <v>viguetas pretensadas 3.90 m.</v>
      </c>
      <c r="C89" s="6" t="str">
        <f t="shared" si="13"/>
        <v>m</v>
      </c>
      <c r="D89" s="60">
        <v>2.2</v>
      </c>
      <c r="E89" s="60">
        <f t="shared" si="14"/>
        <v>15.1162</v>
      </c>
      <c r="F89" s="79">
        <f t="shared" si="15"/>
        <v>33.25564</v>
      </c>
    </row>
    <row r="90" spans="1:6" ht="12.75">
      <c r="A90" s="94" t="s">
        <v>1074</v>
      </c>
      <c r="D90" s="60"/>
      <c r="E90" s="60"/>
      <c r="F90" s="79"/>
    </row>
    <row r="91" spans="1:6" ht="12.75">
      <c r="A91" s="3" t="s">
        <v>289</v>
      </c>
      <c r="B91" s="4" t="str">
        <f>VLOOKUP(A91,Insumos,2)</f>
        <v>cuadrilla tipo UOCRA</v>
      </c>
      <c r="C91" s="6" t="str">
        <f>VLOOKUP(A91,Insumos,3)</f>
        <v>h</v>
      </c>
      <c r="D91" s="60">
        <v>5.37</v>
      </c>
      <c r="E91" s="60">
        <f>VLOOKUP(A91,Insumos,4)</f>
        <v>21.86</v>
      </c>
      <c r="F91" s="79">
        <f>(D91*E91)</f>
        <v>117.3882</v>
      </c>
    </row>
    <row r="92" spans="1:6" ht="12.75">
      <c r="A92" s="94" t="s">
        <v>1075</v>
      </c>
      <c r="D92" s="60"/>
      <c r="E92" s="60"/>
      <c r="F92" s="79"/>
    </row>
    <row r="93" spans="1:6" ht="12.75">
      <c r="A93" s="3" t="s">
        <v>295</v>
      </c>
      <c r="B93" s="4" t="str">
        <f>VLOOKUP(A93,Insumos,2)</f>
        <v>canasta 2 (mixer 5m3)</v>
      </c>
      <c r="C93" s="6" t="str">
        <f>VLOOKUP(A93,Insumos,3)</f>
        <v>h</v>
      </c>
      <c r="D93" s="60">
        <v>0.008</v>
      </c>
      <c r="E93" s="60">
        <f>VLOOKUP(A93,Insumos,4)</f>
        <v>262.81</v>
      </c>
      <c r="F93" s="79">
        <f>(D93*E93)</f>
        <v>2.10248</v>
      </c>
    </row>
    <row r="94" ht="13.5" thickBot="1">
      <c r="D94" s="60"/>
    </row>
    <row r="95" spans="1:7" ht="13.5" thickTop="1">
      <c r="A95" s="87" t="s">
        <v>1069</v>
      </c>
      <c r="B95" s="8" t="s">
        <v>1108</v>
      </c>
      <c r="C95" s="89" t="str">
        <f>Fecha</f>
        <v>JUN/10</v>
      </c>
      <c r="D95" s="57"/>
      <c r="E95" s="57"/>
      <c r="F95" s="77">
        <f>SUM(F97:F103)</f>
        <v>137.94835</v>
      </c>
      <c r="G95" s="50"/>
    </row>
    <row r="96" spans="1:7" ht="13.5" thickBot="1">
      <c r="A96" s="7" t="s">
        <v>1068</v>
      </c>
      <c r="B96" s="7" t="s">
        <v>361</v>
      </c>
      <c r="C96" s="90" t="s">
        <v>1067</v>
      </c>
      <c r="D96" s="58" t="s">
        <v>1106</v>
      </c>
      <c r="E96" s="59"/>
      <c r="F96" s="78"/>
      <c r="G96" s="51" t="s">
        <v>602</v>
      </c>
    </row>
    <row r="97" spans="1:6" ht="13.5" thickTop="1">
      <c r="A97" s="94" t="s">
        <v>1073</v>
      </c>
      <c r="D97" s="60"/>
      <c r="E97" s="60"/>
      <c r="F97" s="79"/>
    </row>
    <row r="98" spans="1:6" ht="12.75">
      <c r="A98" s="3" t="s">
        <v>297</v>
      </c>
      <c r="B98" s="4" t="str">
        <f>VLOOKUP(A98,Insumos,2)</f>
        <v>chapa de hierro N°16 DD de 1 x 2 m.</v>
      </c>
      <c r="C98" s="6" t="str">
        <f>VLOOKUP(A98,Insumos,3)</f>
        <v>kg</v>
      </c>
      <c r="D98" s="60">
        <v>3</v>
      </c>
      <c r="E98" s="60">
        <f>VLOOKUP(A98,Insumos,4)</f>
        <v>5.3509</v>
      </c>
      <c r="F98" s="79">
        <f>(D98*E98)</f>
        <v>16.0527</v>
      </c>
    </row>
    <row r="99" spans="1:6" ht="12.75">
      <c r="A99" s="3" t="s">
        <v>726</v>
      </c>
      <c r="B99" s="4" t="str">
        <f>VLOOKUP(A99,'IN-06-10'!$A$5:$D$440,2)</f>
        <v>policarbonato 4mm</v>
      </c>
      <c r="C99" s="4" t="str">
        <f>VLOOKUP(A99,'IN-06-10'!$A$5:$D$440,3)</f>
        <v>m2</v>
      </c>
      <c r="D99" s="60">
        <v>1.1</v>
      </c>
      <c r="E99" s="4">
        <f>VLOOKUP(A99,'IN-06-10'!$A$5:$D$440,4)</f>
        <v>49.4215</v>
      </c>
      <c r="F99" s="79">
        <f>(D99*E99)</f>
        <v>54.36365000000001</v>
      </c>
    </row>
    <row r="100" spans="1:6" ht="12.75">
      <c r="A100" s="94" t="s">
        <v>1074</v>
      </c>
      <c r="D100" s="60"/>
      <c r="E100" s="60"/>
      <c r="F100" s="79"/>
    </row>
    <row r="101" spans="1:6" ht="12.75">
      <c r="A101" s="3" t="s">
        <v>289</v>
      </c>
      <c r="B101" s="4" t="str">
        <f>VLOOKUP(A101,Insumos,2)</f>
        <v>cuadrilla tipo UOCRA</v>
      </c>
      <c r="C101" s="6" t="str">
        <f>VLOOKUP(A101,Insumos,3)</f>
        <v>h</v>
      </c>
      <c r="D101" s="60">
        <v>3</v>
      </c>
      <c r="E101" s="60">
        <f>VLOOKUP(A101,Insumos,4)</f>
        <v>21.86</v>
      </c>
      <c r="F101" s="79">
        <f>(D101*E101)</f>
        <v>65.58</v>
      </c>
    </row>
    <row r="102" spans="1:6" ht="12.75">
      <c r="A102" s="94" t="s">
        <v>1075</v>
      </c>
      <c r="D102" s="60"/>
      <c r="E102" s="60"/>
      <c r="F102" s="79"/>
    </row>
    <row r="103" spans="1:6" ht="12.75">
      <c r="A103" s="3" t="s">
        <v>290</v>
      </c>
      <c r="B103" s="4" t="str">
        <f>VLOOKUP(A103,Insumos,2)</f>
        <v>canasta 1 (camión volcador)</v>
      </c>
      <c r="C103" s="6" t="str">
        <f>VLOOKUP(A103,Insumos,3)</f>
        <v>h</v>
      </c>
      <c r="D103" s="60">
        <v>0.01</v>
      </c>
      <c r="E103" s="60">
        <f>VLOOKUP(A103,Insumos,4)</f>
        <v>195.2</v>
      </c>
      <c r="F103" s="79">
        <f>(D103*E103)</f>
        <v>1.952</v>
      </c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workbookViewId="0" topLeftCell="A24">
      <selection activeCell="D34" sqref="D3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>
      <c r="D1" s="60"/>
    </row>
    <row r="2" spans="1:7" ht="13.5" thickTop="1">
      <c r="A2" s="87" t="s">
        <v>1069</v>
      </c>
      <c r="B2" s="8" t="s">
        <v>367</v>
      </c>
      <c r="C2" s="89" t="str">
        <f>Fecha</f>
        <v>JUN/10</v>
      </c>
      <c r="D2" s="57"/>
      <c r="E2" s="57"/>
      <c r="F2" s="77">
        <f>SUM(F4:F14)</f>
        <v>103.54977300000002</v>
      </c>
      <c r="G2" s="50"/>
    </row>
    <row r="3" spans="1:7" ht="13.5" thickBot="1">
      <c r="A3" s="7" t="s">
        <v>1068</v>
      </c>
      <c r="B3" s="7" t="s">
        <v>368</v>
      </c>
      <c r="C3" s="90" t="s">
        <v>1067</v>
      </c>
      <c r="D3" s="58" t="s">
        <v>409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292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60">
        <v>4</v>
      </c>
      <c r="E5" s="60">
        <f aca="true" t="shared" si="2" ref="E5:E10">VLOOKUP(A5,Insumos,4)</f>
        <v>0.4787</v>
      </c>
      <c r="F5" s="79">
        <f aca="true" t="shared" si="3" ref="F5:F10">(D5*E5)</f>
        <v>1.9148</v>
      </c>
    </row>
    <row r="6" spans="1:6" ht="12.75">
      <c r="A6" s="3" t="s">
        <v>299</v>
      </c>
      <c r="B6" s="4" t="str">
        <f t="shared" si="0"/>
        <v>cal hidratada en bolsa</v>
      </c>
      <c r="C6" s="6" t="str">
        <f t="shared" si="1"/>
        <v>kg</v>
      </c>
      <c r="D6" s="60">
        <v>3.1</v>
      </c>
      <c r="E6" s="60">
        <f t="shared" si="2"/>
        <v>0.5035</v>
      </c>
      <c r="F6" s="79">
        <f t="shared" si="3"/>
        <v>1.5608499999999998</v>
      </c>
    </row>
    <row r="7" spans="1:6" ht="12.75">
      <c r="A7" s="3" t="s">
        <v>846</v>
      </c>
      <c r="B7" s="4" t="str">
        <f t="shared" si="0"/>
        <v>madera 1" pino nacional s/cepillar</v>
      </c>
      <c r="C7" s="6" t="str">
        <f t="shared" si="1"/>
        <v>m2</v>
      </c>
      <c r="D7" s="60">
        <v>0.5</v>
      </c>
      <c r="E7" s="60">
        <f t="shared" si="2"/>
        <v>33.735</v>
      </c>
      <c r="F7" s="79">
        <f t="shared" si="3"/>
        <v>16.8675</v>
      </c>
    </row>
    <row r="8" spans="1:6" ht="12.75">
      <c r="A8" s="3" t="s">
        <v>315</v>
      </c>
      <c r="B8" s="4" t="str">
        <f t="shared" si="0"/>
        <v>metal desplegado 0.75mx2.00m.</v>
      </c>
      <c r="C8" s="6" t="str">
        <f t="shared" si="1"/>
        <v>u</v>
      </c>
      <c r="D8" s="60">
        <v>1.31</v>
      </c>
      <c r="E8" s="60">
        <f t="shared" si="2"/>
        <v>8.8733</v>
      </c>
      <c r="F8" s="79">
        <f t="shared" si="3"/>
        <v>11.624023000000001</v>
      </c>
    </row>
    <row r="9" spans="1:6" ht="12.75">
      <c r="A9" s="3" t="s">
        <v>294</v>
      </c>
      <c r="B9" s="4" t="str">
        <f t="shared" si="0"/>
        <v>arena gruesa</v>
      </c>
      <c r="C9" s="6" t="str">
        <f t="shared" si="1"/>
        <v>m3</v>
      </c>
      <c r="D9" s="60">
        <v>0.03</v>
      </c>
      <c r="E9" s="60">
        <f t="shared" si="2"/>
        <v>51</v>
      </c>
      <c r="F9" s="79">
        <f t="shared" si="3"/>
        <v>1.53</v>
      </c>
    </row>
    <row r="10" spans="1:6" ht="12.75">
      <c r="A10" s="3" t="s">
        <v>425</v>
      </c>
      <c r="B10" s="4" t="str">
        <f t="shared" si="0"/>
        <v>listones pino 1x2"</v>
      </c>
      <c r="C10" s="6" t="str">
        <f t="shared" si="1"/>
        <v>m</v>
      </c>
      <c r="D10" s="60">
        <v>2.2</v>
      </c>
      <c r="E10" s="60">
        <f t="shared" si="2"/>
        <v>1.82</v>
      </c>
      <c r="F10" s="79">
        <f t="shared" si="3"/>
        <v>4.0040000000000004</v>
      </c>
    </row>
    <row r="11" spans="1:6" ht="12.75">
      <c r="A11" s="94" t="s">
        <v>1074</v>
      </c>
      <c r="D11" s="60"/>
      <c r="E11" s="60"/>
      <c r="F11" s="79"/>
    </row>
    <row r="12" spans="1:6" ht="12.75">
      <c r="A12" s="3" t="s">
        <v>289</v>
      </c>
      <c r="B12" s="4" t="str">
        <f>VLOOKUP(A12,Insumos,2)</f>
        <v>cuadrilla tipo UOCRA</v>
      </c>
      <c r="C12" s="6" t="str">
        <f>VLOOKUP(A12,Insumos,3)</f>
        <v>h</v>
      </c>
      <c r="D12" s="60">
        <v>2.95</v>
      </c>
      <c r="E12" s="60">
        <f>VLOOKUP(A12,Insumos,4)</f>
        <v>21.86</v>
      </c>
      <c r="F12" s="79">
        <f>(D12*E12)</f>
        <v>64.48700000000001</v>
      </c>
    </row>
    <row r="13" spans="1:6" ht="12.75">
      <c r="A13" s="94" t="s">
        <v>1075</v>
      </c>
      <c r="D13" s="60"/>
      <c r="E13" s="60"/>
      <c r="F13" s="79"/>
    </row>
    <row r="14" spans="1:6" ht="12.75">
      <c r="A14" s="3" t="s">
        <v>290</v>
      </c>
      <c r="B14" s="4" t="str">
        <f>VLOOKUP(A14,Insumos,2)</f>
        <v>canasta 1 (camión volcador)</v>
      </c>
      <c r="C14" s="6" t="str">
        <f>VLOOKUP(A14,Insumos,3)</f>
        <v>h</v>
      </c>
      <c r="D14" s="60">
        <v>0.008</v>
      </c>
      <c r="E14" s="60">
        <f>VLOOKUP(A14,Insumos,4)</f>
        <v>195.2</v>
      </c>
      <c r="F14" s="79">
        <f>(D14*E14)</f>
        <v>1.5615999999999999</v>
      </c>
    </row>
    <row r="15" ht="13.5" thickBot="1">
      <c r="D15" s="60"/>
    </row>
    <row r="16" spans="1:7" ht="13.5" thickTop="1">
      <c r="A16" s="87" t="s">
        <v>1069</v>
      </c>
      <c r="B16" s="8" t="s">
        <v>369</v>
      </c>
      <c r="C16" s="89" t="str">
        <f>Fecha</f>
        <v>JUN/10</v>
      </c>
      <c r="D16" s="57"/>
      <c r="E16" s="57"/>
      <c r="F16" s="77">
        <f>SUM(F18:F29)</f>
        <v>121.05397300000001</v>
      </c>
      <c r="G16" s="50"/>
    </row>
    <row r="17" spans="1:7" ht="13.5" thickBot="1">
      <c r="A17" s="7" t="s">
        <v>1068</v>
      </c>
      <c r="B17" s="7" t="s">
        <v>368</v>
      </c>
      <c r="C17" s="90" t="s">
        <v>1067</v>
      </c>
      <c r="D17" s="58" t="s">
        <v>411</v>
      </c>
      <c r="E17" s="59"/>
      <c r="F17" s="78"/>
      <c r="G17" s="51" t="s">
        <v>602</v>
      </c>
    </row>
    <row r="18" spans="1:6" ht="13.5" thickTop="1">
      <c r="A18" s="94" t="s">
        <v>1073</v>
      </c>
      <c r="D18" s="60"/>
      <c r="E18" s="60"/>
      <c r="F18" s="79"/>
    </row>
    <row r="19" spans="1:6" ht="12.75">
      <c r="A19" s="3" t="s">
        <v>292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60">
        <v>4</v>
      </c>
      <c r="E19" s="60">
        <f aca="true" t="shared" si="6" ref="E19:E25">VLOOKUP(A19,Insumos,4)</f>
        <v>0.4787</v>
      </c>
      <c r="F19" s="79">
        <f aca="true" t="shared" si="7" ref="F19:F25">(D19*E19)</f>
        <v>1.9148</v>
      </c>
    </row>
    <row r="20" spans="1:6" ht="12.75">
      <c r="A20" s="3" t="s">
        <v>299</v>
      </c>
      <c r="B20" s="4" t="str">
        <f t="shared" si="4"/>
        <v>cal hidratada en bolsa</v>
      </c>
      <c r="C20" s="6" t="str">
        <f t="shared" si="5"/>
        <v>kg</v>
      </c>
      <c r="D20" s="60">
        <v>1.1</v>
      </c>
      <c r="E20" s="60">
        <f t="shared" si="6"/>
        <v>0.5035</v>
      </c>
      <c r="F20" s="79">
        <f t="shared" si="7"/>
        <v>0.55385</v>
      </c>
    </row>
    <row r="21" spans="1:6" ht="12.75">
      <c r="A21" s="3" t="s">
        <v>846</v>
      </c>
      <c r="B21" s="4" t="str">
        <f t="shared" si="4"/>
        <v>madera 1" pino nacional s/cepillar</v>
      </c>
      <c r="C21" s="6" t="str">
        <f t="shared" si="5"/>
        <v>m2</v>
      </c>
      <c r="D21" s="60">
        <v>0.5</v>
      </c>
      <c r="E21" s="60">
        <f t="shared" si="6"/>
        <v>33.735</v>
      </c>
      <c r="F21" s="79">
        <f t="shared" si="7"/>
        <v>16.8675</v>
      </c>
    </row>
    <row r="22" spans="1:6" ht="12.75">
      <c r="A22" s="3" t="s">
        <v>315</v>
      </c>
      <c r="B22" s="4" t="str">
        <f t="shared" si="4"/>
        <v>metal desplegado 0.75mx2.00m.</v>
      </c>
      <c r="C22" s="6" t="str">
        <f t="shared" si="5"/>
        <v>u</v>
      </c>
      <c r="D22" s="60">
        <v>1.31</v>
      </c>
      <c r="E22" s="60">
        <f t="shared" si="6"/>
        <v>8.8733</v>
      </c>
      <c r="F22" s="79">
        <f t="shared" si="7"/>
        <v>11.624023000000001</v>
      </c>
    </row>
    <row r="23" spans="1:6" ht="12.75">
      <c r="A23" s="3" t="s">
        <v>294</v>
      </c>
      <c r="B23" s="4" t="str">
        <f t="shared" si="4"/>
        <v>arena gruesa</v>
      </c>
      <c r="C23" s="6" t="str">
        <f t="shared" si="5"/>
        <v>m3</v>
      </c>
      <c r="D23" s="60">
        <v>0.006</v>
      </c>
      <c r="E23" s="60">
        <f t="shared" si="6"/>
        <v>51</v>
      </c>
      <c r="F23" s="79">
        <f t="shared" si="7"/>
        <v>0.306</v>
      </c>
    </row>
    <row r="24" spans="1:6" ht="12.75">
      <c r="A24" s="3" t="s">
        <v>303</v>
      </c>
      <c r="B24" s="4" t="str">
        <f t="shared" si="4"/>
        <v>yeso blanco</v>
      </c>
      <c r="C24" s="6" t="str">
        <f t="shared" si="5"/>
        <v>kg</v>
      </c>
      <c r="D24" s="60">
        <v>18</v>
      </c>
      <c r="E24" s="60">
        <f t="shared" si="6"/>
        <v>1.0964</v>
      </c>
      <c r="F24" s="79">
        <f t="shared" si="7"/>
        <v>19.7352</v>
      </c>
    </row>
    <row r="25" spans="1:6" ht="12.75">
      <c r="A25" s="3" t="s">
        <v>425</v>
      </c>
      <c r="B25" s="4" t="str">
        <f t="shared" si="4"/>
        <v>listones pino 1x2"</v>
      </c>
      <c r="C25" s="6" t="str">
        <f t="shared" si="5"/>
        <v>m</v>
      </c>
      <c r="D25" s="60">
        <v>2.2</v>
      </c>
      <c r="E25" s="60">
        <f t="shared" si="6"/>
        <v>1.82</v>
      </c>
      <c r="F25" s="79">
        <f t="shared" si="7"/>
        <v>4.0040000000000004</v>
      </c>
    </row>
    <row r="26" spans="1:6" ht="12.75">
      <c r="A26" s="94" t="s">
        <v>1074</v>
      </c>
      <c r="D26" s="60"/>
      <c r="E26" s="60"/>
      <c r="F26" s="79"/>
    </row>
    <row r="27" spans="1:6" ht="12.75">
      <c r="A27" s="3" t="s">
        <v>289</v>
      </c>
      <c r="B27" s="4" t="str">
        <f>VLOOKUP(A27,Insumos,2)</f>
        <v>cuadrilla tipo UOCRA</v>
      </c>
      <c r="C27" s="6" t="str">
        <f>VLOOKUP(A27,Insumos,3)</f>
        <v>h</v>
      </c>
      <c r="D27" s="60">
        <v>2.95</v>
      </c>
      <c r="E27" s="60">
        <f>VLOOKUP(A27,Insumos,4)</f>
        <v>21.86</v>
      </c>
      <c r="F27" s="79">
        <f>(D27*E27)</f>
        <v>64.48700000000001</v>
      </c>
    </row>
    <row r="28" spans="1:6" ht="12.75">
      <c r="A28" s="94" t="s">
        <v>1075</v>
      </c>
      <c r="D28" s="60"/>
      <c r="E28" s="60"/>
      <c r="F28" s="79"/>
    </row>
    <row r="29" spans="1:6" ht="12.75">
      <c r="A29" s="3" t="s">
        <v>290</v>
      </c>
      <c r="B29" s="4" t="str">
        <f>VLOOKUP(A29,Insumos,2)</f>
        <v>canasta 1 (camión volcador)</v>
      </c>
      <c r="C29" s="6" t="str">
        <f>VLOOKUP(A29,Insumos,3)</f>
        <v>h</v>
      </c>
      <c r="D29" s="60">
        <v>0.008</v>
      </c>
      <c r="E29" s="60">
        <f>VLOOKUP(A29,Insumos,4)</f>
        <v>195.2</v>
      </c>
      <c r="F29" s="79">
        <f>(D29*E29)</f>
        <v>1.5615999999999999</v>
      </c>
    </row>
    <row r="30" spans="3:4" ht="13.5" thickBot="1">
      <c r="C30" s="6"/>
      <c r="D30" s="60"/>
    </row>
    <row r="31" spans="1:7" ht="13.5" thickTop="1">
      <c r="A31" s="87" t="s">
        <v>1069</v>
      </c>
      <c r="B31" s="8" t="s">
        <v>370</v>
      </c>
      <c r="C31" s="89" t="str">
        <f>Fecha</f>
        <v>JUN/10</v>
      </c>
      <c r="D31" s="57"/>
      <c r="E31" s="57"/>
      <c r="F31" s="77">
        <f>SUM(F33:F38)</f>
        <v>102.6311</v>
      </c>
      <c r="G31" s="50"/>
    </row>
    <row r="32" spans="1:7" ht="13.5" thickBot="1">
      <c r="A32" s="7" t="s">
        <v>1068</v>
      </c>
      <c r="B32" s="7" t="s">
        <v>368</v>
      </c>
      <c r="C32" s="90" t="s">
        <v>1067</v>
      </c>
      <c r="D32" s="58" t="s">
        <v>412</v>
      </c>
      <c r="E32" s="59"/>
      <c r="F32" s="78"/>
      <c r="G32" s="51" t="s">
        <v>602</v>
      </c>
    </row>
    <row r="33" spans="1:6" ht="13.5" thickTop="1">
      <c r="A33" s="94" t="s">
        <v>1073</v>
      </c>
      <c r="D33" s="60"/>
      <c r="E33" s="60"/>
      <c r="F33" s="79"/>
    </row>
    <row r="34" spans="1:6" ht="12.75">
      <c r="A34" s="3" t="s">
        <v>846</v>
      </c>
      <c r="B34" s="4" t="str">
        <f>VLOOKUP(A34,Insumos,2)</f>
        <v>madera 1" pino nacional s/cepillar</v>
      </c>
      <c r="C34" s="6" t="str">
        <f>VLOOKUP(A34,Insumos,3)</f>
        <v>m2</v>
      </c>
      <c r="D34" s="60">
        <v>1.7</v>
      </c>
      <c r="E34" s="60">
        <f>VLOOKUP(A34,Insumos,4)</f>
        <v>33.735</v>
      </c>
      <c r="F34" s="79">
        <f>(D34*E34)</f>
        <v>57.3495</v>
      </c>
    </row>
    <row r="35" spans="1:6" ht="12.75">
      <c r="A35" s="94" t="s">
        <v>1074</v>
      </c>
      <c r="D35" s="60"/>
      <c r="E35" s="60"/>
      <c r="F35" s="79"/>
    </row>
    <row r="36" spans="1:6" ht="12.75">
      <c r="A36" s="3" t="s">
        <v>289</v>
      </c>
      <c r="B36" s="4" t="str">
        <f>VLOOKUP(A36,Insumos,2)</f>
        <v>cuadrilla tipo UOCRA</v>
      </c>
      <c r="C36" s="6" t="str">
        <f>VLOOKUP(A36,Insumos,3)</f>
        <v>h</v>
      </c>
      <c r="D36" s="60">
        <v>2</v>
      </c>
      <c r="E36" s="60">
        <f>VLOOKUP(A36,Insumos,4)</f>
        <v>21.86</v>
      </c>
      <c r="F36" s="79">
        <f>(D36*E36)</f>
        <v>43.72</v>
      </c>
    </row>
    <row r="37" spans="1:6" ht="12.75">
      <c r="A37" s="94" t="s">
        <v>1075</v>
      </c>
      <c r="D37" s="60"/>
      <c r="E37" s="60"/>
      <c r="F37" s="79"/>
    </row>
    <row r="38" spans="1:6" ht="12.75">
      <c r="A38" s="3" t="s">
        <v>290</v>
      </c>
      <c r="B38" s="4" t="str">
        <f>VLOOKUP(A38,Insumos,2)</f>
        <v>canasta 1 (camión volcador)</v>
      </c>
      <c r="C38" s="6" t="str">
        <f>VLOOKUP(A38,Insumos,3)</f>
        <v>h</v>
      </c>
      <c r="D38" s="60">
        <v>0.008</v>
      </c>
      <c r="E38" s="60">
        <f>VLOOKUP(A38,Insumos,4)</f>
        <v>195.2</v>
      </c>
      <c r="F38" s="79">
        <f>(D38*E38)</f>
        <v>1.5615999999999999</v>
      </c>
    </row>
    <row r="39" ht="13.5" thickBot="1">
      <c r="D39" s="60"/>
    </row>
    <row r="40" spans="1:7" ht="13.5" thickTop="1">
      <c r="A40" s="87" t="s">
        <v>1069</v>
      </c>
      <c r="B40" s="8" t="s">
        <v>371</v>
      </c>
      <c r="C40" s="89" t="str">
        <f>Fecha</f>
        <v>JUN/10</v>
      </c>
      <c r="D40" s="57"/>
      <c r="E40" s="57"/>
      <c r="F40" s="77">
        <f>SUM(F42:F48)</f>
        <v>106.69443000000001</v>
      </c>
      <c r="G40" s="50"/>
    </row>
    <row r="41" spans="1:7" ht="13.5" thickBot="1">
      <c r="A41" s="7" t="s">
        <v>1068</v>
      </c>
      <c r="B41" s="7" t="s">
        <v>368</v>
      </c>
      <c r="C41" s="90" t="s">
        <v>1067</v>
      </c>
      <c r="D41" s="58" t="s">
        <v>413</v>
      </c>
      <c r="E41" s="59"/>
      <c r="F41" s="78"/>
      <c r="G41" s="51" t="s">
        <v>602</v>
      </c>
    </row>
    <row r="42" spans="1:6" ht="13.5" thickTop="1">
      <c r="A42" s="94" t="s">
        <v>1073</v>
      </c>
      <c r="D42" s="60"/>
      <c r="E42" s="60"/>
      <c r="F42" s="79"/>
    </row>
    <row r="43" spans="1:6" ht="12.75">
      <c r="A43" s="3" t="s">
        <v>881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60">
        <v>4.7</v>
      </c>
      <c r="E43" s="60">
        <f>VLOOKUP(A43,Insumos,4)</f>
        <v>7.9339</v>
      </c>
      <c r="F43" s="79">
        <f>(D43*E43)</f>
        <v>37.28933000000001</v>
      </c>
    </row>
    <row r="44" spans="1:6" ht="12.75">
      <c r="A44" s="3" t="s">
        <v>775</v>
      </c>
      <c r="B44" s="4" t="str">
        <f>VLOOKUP(A44,Insumos,2)</f>
        <v>placa durlock 1.20mx2.40m  9,5mm</v>
      </c>
      <c r="C44" s="6" t="str">
        <f>VLOOKUP(A44,Insumos,3)</f>
        <v>u</v>
      </c>
      <c r="D44" s="60">
        <v>1.1</v>
      </c>
      <c r="E44" s="60">
        <f>VLOOKUP(A44,Insumos,4)</f>
        <v>31.157</v>
      </c>
      <c r="F44" s="79">
        <f>(D44*E44)</f>
        <v>34.2727</v>
      </c>
    </row>
    <row r="45" spans="1:6" ht="12.75">
      <c r="A45" s="94" t="s">
        <v>1074</v>
      </c>
      <c r="D45" s="60"/>
      <c r="E45" s="60"/>
      <c r="F45" s="79"/>
    </row>
    <row r="46" spans="1:6" ht="12.75">
      <c r="A46" s="3" t="s">
        <v>289</v>
      </c>
      <c r="B46" s="4" t="str">
        <f>VLOOKUP(A46,Insumos,2)</f>
        <v>cuadrilla tipo UOCRA</v>
      </c>
      <c r="C46" s="6" t="str">
        <f>VLOOKUP(A46,Insumos,3)</f>
        <v>h</v>
      </c>
      <c r="D46" s="60">
        <v>1.5</v>
      </c>
      <c r="E46" s="60">
        <f>VLOOKUP(A46,Insumos,4)</f>
        <v>21.86</v>
      </c>
      <c r="F46" s="79">
        <f>(D46*E46)</f>
        <v>32.79</v>
      </c>
    </row>
    <row r="47" spans="1:6" ht="12.75">
      <c r="A47" s="94" t="s">
        <v>1075</v>
      </c>
      <c r="D47" s="60"/>
      <c r="E47" s="60"/>
      <c r="F47" s="79"/>
    </row>
    <row r="48" spans="1:6" ht="12.75">
      <c r="A48" s="3" t="s">
        <v>290</v>
      </c>
      <c r="B48" s="4" t="str">
        <f>VLOOKUP(A48,Insumos,2)</f>
        <v>canasta 1 (camión volcador)</v>
      </c>
      <c r="C48" s="6" t="str">
        <f>VLOOKUP(A48,Insumos,3)</f>
        <v>h</v>
      </c>
      <c r="D48" s="60">
        <v>0.012</v>
      </c>
      <c r="E48" s="60">
        <f>VLOOKUP(A48,Insumos,4)</f>
        <v>195.2</v>
      </c>
      <c r="F48" s="79">
        <f>(D48*E48)</f>
        <v>2.3424</v>
      </c>
    </row>
    <row r="49" ht="13.5" thickBot="1">
      <c r="D49" s="60"/>
    </row>
    <row r="50" spans="1:7" ht="13.5" thickTop="1">
      <c r="A50" s="87" t="s">
        <v>1069</v>
      </c>
      <c r="B50" s="8" t="s">
        <v>372</v>
      </c>
      <c r="C50" s="89" t="str">
        <f>Fecha</f>
        <v>JUN/10</v>
      </c>
      <c r="D50" s="57"/>
      <c r="E50" s="57"/>
      <c r="F50" s="77">
        <f>SUM(F52:F59)</f>
        <v>46.34061500000001</v>
      </c>
      <c r="G50" s="50"/>
    </row>
    <row r="51" spans="1:7" ht="13.5" thickBot="1">
      <c r="A51" s="7" t="s">
        <v>1068</v>
      </c>
      <c r="B51" s="7" t="s">
        <v>368</v>
      </c>
      <c r="C51" s="90" t="s">
        <v>1067</v>
      </c>
      <c r="D51" s="58" t="s">
        <v>414</v>
      </c>
      <c r="E51" s="59"/>
      <c r="F51" s="78"/>
      <c r="G51" s="51" t="s">
        <v>602</v>
      </c>
    </row>
    <row r="52" spans="1:6" ht="13.5" thickTop="1">
      <c r="A52" s="94" t="s">
        <v>1073</v>
      </c>
      <c r="D52" s="60"/>
      <c r="E52" s="60"/>
      <c r="F52" s="79"/>
    </row>
    <row r="53" spans="1:6" ht="12.75">
      <c r="A53" s="3" t="s">
        <v>292</v>
      </c>
      <c r="B53" s="4" t="str">
        <f>VLOOKUP(A53,Insumos,2)</f>
        <v>cemento Portland</v>
      </c>
      <c r="C53" s="6" t="str">
        <f>VLOOKUP(A53,Insumos,3)</f>
        <v>kg</v>
      </c>
      <c r="D53" s="60">
        <v>6</v>
      </c>
      <c r="E53" s="60">
        <f>VLOOKUP(A53,Insumos,4)</f>
        <v>0.4787</v>
      </c>
      <c r="F53" s="79">
        <f>(D53*E53)</f>
        <v>2.8722000000000003</v>
      </c>
    </row>
    <row r="54" spans="1:6" ht="12.75">
      <c r="A54" s="3" t="s">
        <v>299</v>
      </c>
      <c r="B54" s="4" t="str">
        <f>VLOOKUP(A54,Insumos,2)</f>
        <v>cal hidratada en bolsa</v>
      </c>
      <c r="C54" s="6" t="str">
        <f>VLOOKUP(A54,Insumos,3)</f>
        <v>kg</v>
      </c>
      <c r="D54" s="60">
        <v>4</v>
      </c>
      <c r="E54" s="60">
        <f>VLOOKUP(A54,Insumos,4)</f>
        <v>0.5035</v>
      </c>
      <c r="F54" s="79">
        <f>(D54*E54)</f>
        <v>2.014</v>
      </c>
    </row>
    <row r="55" spans="1:6" ht="12.75">
      <c r="A55" s="3" t="s">
        <v>294</v>
      </c>
      <c r="B55" s="4" t="str">
        <f>VLOOKUP(A55,Insumos,2)</f>
        <v>arena gruesa</v>
      </c>
      <c r="C55" s="6" t="str">
        <f>VLOOKUP(A55,Insumos,3)</f>
        <v>m3</v>
      </c>
      <c r="D55" s="60">
        <v>0.025</v>
      </c>
      <c r="E55" s="60">
        <f>VLOOKUP(A55,Insumos,4)</f>
        <v>51</v>
      </c>
      <c r="F55" s="79">
        <f>(D55*E55)</f>
        <v>1.2750000000000001</v>
      </c>
    </row>
    <row r="56" spans="1:6" ht="12.75">
      <c r="A56" s="94" t="s">
        <v>1074</v>
      </c>
      <c r="C56" s="6"/>
      <c r="D56" s="60"/>
      <c r="E56" s="60"/>
      <c r="F56" s="79"/>
    </row>
    <row r="57" spans="1:6" ht="12.75">
      <c r="A57" s="3" t="s">
        <v>289</v>
      </c>
      <c r="B57" s="4" t="str">
        <f>VLOOKUP(A57,Insumos,2)</f>
        <v>cuadrilla tipo UOCRA</v>
      </c>
      <c r="C57" s="6" t="str">
        <f>VLOOKUP(A57,Insumos,3)</f>
        <v>h</v>
      </c>
      <c r="D57" s="60">
        <v>1.82</v>
      </c>
      <c r="E57" s="60">
        <f>VLOOKUP(A57,Insumos,4)</f>
        <v>21.86</v>
      </c>
      <c r="F57" s="79">
        <f>(D57*E57)</f>
        <v>39.7852</v>
      </c>
    </row>
    <row r="58" spans="1:6" ht="12.75">
      <c r="A58" s="94" t="s">
        <v>1075</v>
      </c>
      <c r="D58" s="60"/>
      <c r="E58" s="60"/>
      <c r="F58" s="79"/>
    </row>
    <row r="59" spans="1:6" ht="12.75">
      <c r="A59" s="3" t="s">
        <v>295</v>
      </c>
      <c r="B59" s="4" t="str">
        <f>VLOOKUP(A59,Insumos,2)</f>
        <v>canasta 2 (mixer 5m3)</v>
      </c>
      <c r="C59" s="6" t="str">
        <f>VLOOKUP(A59,Insumos,3)</f>
        <v>h</v>
      </c>
      <c r="D59" s="60">
        <v>0.0015</v>
      </c>
      <c r="E59" s="60">
        <f>VLOOKUP(A59,Insumos,4)</f>
        <v>262.81</v>
      </c>
      <c r="F59" s="79">
        <f>(D59*E59)</f>
        <v>0.39421500000000004</v>
      </c>
    </row>
    <row r="60" ht="13.5" thickBot="1">
      <c r="D60" s="60"/>
    </row>
    <row r="61" spans="1:7" ht="13.5" thickTop="1">
      <c r="A61" s="87" t="s">
        <v>1069</v>
      </c>
      <c r="B61" s="8" t="s">
        <v>902</v>
      </c>
      <c r="C61" s="89" t="str">
        <f>Fecha</f>
        <v>JUN/10</v>
      </c>
      <c r="D61" s="57"/>
      <c r="E61" s="57"/>
      <c r="F61" s="77">
        <f>SUM(F63:F68)</f>
        <v>64.033382</v>
      </c>
      <c r="G61" s="50"/>
    </row>
    <row r="62" spans="1:7" ht="13.5" thickBot="1">
      <c r="A62" s="7" t="s">
        <v>1068</v>
      </c>
      <c r="B62" s="7" t="s">
        <v>368</v>
      </c>
      <c r="C62" s="90" t="s">
        <v>1067</v>
      </c>
      <c r="D62" s="58" t="s">
        <v>415</v>
      </c>
      <c r="E62" s="59"/>
      <c r="F62" s="78"/>
      <c r="G62" s="51" t="s">
        <v>602</v>
      </c>
    </row>
    <row r="63" spans="1:6" ht="13.5" thickTop="1">
      <c r="A63" s="94" t="s">
        <v>1073</v>
      </c>
      <c r="D63" s="60"/>
      <c r="E63" s="60"/>
      <c r="F63" s="79"/>
    </row>
    <row r="64" spans="1:6" ht="12.75">
      <c r="A64" s="3" t="s">
        <v>303</v>
      </c>
      <c r="B64" s="4" t="str">
        <f>VLOOKUP(A64,Insumos,2)</f>
        <v>yeso blanco</v>
      </c>
      <c r="C64" s="6" t="str">
        <f>VLOOKUP(A64,Insumos,3)</f>
        <v>kg</v>
      </c>
      <c r="D64" s="60">
        <v>18</v>
      </c>
      <c r="E64" s="60">
        <f>VLOOKUP(A64,Insumos,4)</f>
        <v>1.0964</v>
      </c>
      <c r="F64" s="79">
        <f>(D64*E64)</f>
        <v>19.7352</v>
      </c>
    </row>
    <row r="65" spans="1:6" ht="12.75">
      <c r="A65" s="94" t="s">
        <v>1074</v>
      </c>
      <c r="C65" s="6"/>
      <c r="D65" s="60"/>
      <c r="E65" s="60"/>
      <c r="F65" s="79"/>
    </row>
    <row r="66" spans="1:6" ht="12.75">
      <c r="A66" s="3" t="s">
        <v>289</v>
      </c>
      <c r="B66" s="4" t="str">
        <f>VLOOKUP(A66,Insumos,2)</f>
        <v>cuadrilla tipo UOCRA</v>
      </c>
      <c r="C66" s="6" t="str">
        <f>VLOOKUP(A66,Insumos,3)</f>
        <v>h</v>
      </c>
      <c r="D66" s="60">
        <v>2</v>
      </c>
      <c r="E66" s="60">
        <f>VLOOKUP(A66,Insumos,4)</f>
        <v>21.86</v>
      </c>
      <c r="F66" s="79">
        <f>(D66*E66)</f>
        <v>43.72</v>
      </c>
    </row>
    <row r="67" spans="1:6" ht="12.75">
      <c r="A67" s="94" t="s">
        <v>1075</v>
      </c>
      <c r="D67" s="60"/>
      <c r="E67" s="60"/>
      <c r="F67" s="79"/>
    </row>
    <row r="68" spans="1:6" ht="12.75">
      <c r="A68" s="3" t="s">
        <v>295</v>
      </c>
      <c r="B68" s="4" t="str">
        <f>VLOOKUP(A68,Insumos,2)</f>
        <v>canasta 2 (mixer 5m3)</v>
      </c>
      <c r="C68" s="6" t="str">
        <f>VLOOKUP(A68,Insumos,3)</f>
        <v>h</v>
      </c>
      <c r="D68" s="60">
        <v>0.0022</v>
      </c>
      <c r="E68" s="60">
        <f>VLOOKUP(A68,Insumos,4)</f>
        <v>262.81</v>
      </c>
      <c r="F68" s="79">
        <f>(D68*E68)</f>
        <v>0.5781820000000001</v>
      </c>
    </row>
    <row r="69" ht="13.5" thickBot="1"/>
    <row r="70" spans="1:7" ht="13.5" thickTop="1">
      <c r="A70" s="87" t="s">
        <v>1069</v>
      </c>
      <c r="B70" s="8" t="s">
        <v>371</v>
      </c>
      <c r="C70" s="89" t="str">
        <f>Fecha</f>
        <v>JUN/10</v>
      </c>
      <c r="D70" s="57"/>
      <c r="E70" s="57"/>
      <c r="F70" s="77">
        <f>SUM(F72:F78)</f>
        <v>97.69445000000002</v>
      </c>
      <c r="G70" s="50"/>
    </row>
    <row r="71" spans="1:7" ht="13.5" thickBot="1">
      <c r="A71" s="7" t="s">
        <v>1068</v>
      </c>
      <c r="B71" s="7" t="s">
        <v>368</v>
      </c>
      <c r="C71" s="90" t="s">
        <v>1067</v>
      </c>
      <c r="D71" s="58" t="s">
        <v>1115</v>
      </c>
      <c r="E71" s="59"/>
      <c r="F71" s="78"/>
      <c r="G71" s="51" t="s">
        <v>602</v>
      </c>
    </row>
    <row r="72" spans="1:6" ht="13.5" thickTop="1">
      <c r="A72" s="94" t="s">
        <v>1073</v>
      </c>
      <c r="D72" s="60"/>
      <c r="E72" s="60"/>
      <c r="F72" s="79"/>
    </row>
    <row r="73" spans="1:6" ht="12.75">
      <c r="A73" s="3" t="s">
        <v>881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60">
        <v>4.7</v>
      </c>
      <c r="E73" s="60">
        <f>VLOOKUP(A73,Insumos,4)</f>
        <v>7.9339</v>
      </c>
      <c r="F73" s="79">
        <f>(D73*E73)</f>
        <v>37.28933000000001</v>
      </c>
    </row>
    <row r="74" spans="1:6" ht="12.75">
      <c r="A74" s="3" t="s">
        <v>1116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60">
        <v>1.1</v>
      </c>
      <c r="E74" s="60">
        <f>VLOOKUP(A74,Insumos,4)</f>
        <v>22.9752</v>
      </c>
      <c r="F74" s="79">
        <f>(D74*E74)</f>
        <v>25.272720000000003</v>
      </c>
    </row>
    <row r="75" spans="1:6" ht="12.75">
      <c r="A75" s="94" t="s">
        <v>1074</v>
      </c>
      <c r="D75" s="60"/>
      <c r="E75" s="60"/>
      <c r="F75" s="79"/>
    </row>
    <row r="76" spans="1:6" ht="12.75">
      <c r="A76" s="3" t="s">
        <v>289</v>
      </c>
      <c r="B76" s="4" t="str">
        <f>VLOOKUP(A76,Insumos,2)</f>
        <v>cuadrilla tipo UOCRA</v>
      </c>
      <c r="C76" s="6" t="str">
        <f>VLOOKUP(A76,Insumos,3)</f>
        <v>h</v>
      </c>
      <c r="D76" s="60">
        <v>1.5</v>
      </c>
      <c r="E76" s="60">
        <f>VLOOKUP(A76,Insumos,4)</f>
        <v>21.86</v>
      </c>
      <c r="F76" s="79">
        <f>(D76*E76)</f>
        <v>32.79</v>
      </c>
    </row>
    <row r="77" spans="1:6" ht="12.75">
      <c r="A77" s="94" t="s">
        <v>1075</v>
      </c>
      <c r="D77" s="60"/>
      <c r="E77" s="60"/>
      <c r="F77" s="79"/>
    </row>
    <row r="78" spans="1:6" ht="12.75">
      <c r="A78" s="3" t="s">
        <v>290</v>
      </c>
      <c r="B78" s="4" t="str">
        <f>VLOOKUP(A78,Insumos,2)</f>
        <v>canasta 1 (camión volcador)</v>
      </c>
      <c r="C78" s="6" t="str">
        <f>VLOOKUP(A78,Insumos,3)</f>
        <v>h</v>
      </c>
      <c r="D78" s="60">
        <v>0.012</v>
      </c>
      <c r="E78" s="60">
        <f>VLOOKUP(A78,Insumos,4)</f>
        <v>195.2</v>
      </c>
      <c r="F78" s="79">
        <f>(D78*E78)</f>
        <v>2.3424</v>
      </c>
    </row>
  </sheetData>
  <sheetProtection password="C6AE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workbookViewId="0" topLeftCell="A1">
      <selection activeCell="F21" sqref="F2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1069</v>
      </c>
      <c r="B2" s="8" t="s">
        <v>373</v>
      </c>
      <c r="C2" s="89" t="str">
        <f>Fecha</f>
        <v>JUN/10</v>
      </c>
      <c r="D2" s="57"/>
      <c r="E2" s="57"/>
      <c r="F2" s="77">
        <f>SUM(F4:F9)</f>
        <v>14.24681</v>
      </c>
      <c r="G2" s="50"/>
    </row>
    <row r="3" spans="1:7" ht="13.5" thickBot="1">
      <c r="A3" s="7" t="s">
        <v>1068</v>
      </c>
      <c r="B3" s="7" t="s">
        <v>374</v>
      </c>
      <c r="C3" s="90" t="s">
        <v>1067</v>
      </c>
      <c r="D3" s="58" t="s">
        <v>884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316</v>
      </c>
      <c r="B5" s="4" t="str">
        <f>VLOOKUP(A5,Insumos,2)</f>
        <v>salpicado plástico blanco tipo Igam</v>
      </c>
      <c r="C5" s="6" t="str">
        <f>VLOOKUP(A5,Insumos,3)</f>
        <v>kg</v>
      </c>
      <c r="D5" s="60">
        <v>2</v>
      </c>
      <c r="E5" s="60">
        <f>VLOOKUP(A5,Insumos,4)</f>
        <v>3.713</v>
      </c>
      <c r="F5" s="79">
        <f>(D5*E5)</f>
        <v>7.426</v>
      </c>
    </row>
    <row r="6" spans="1:6" ht="12.75">
      <c r="A6" s="94" t="s">
        <v>1074</v>
      </c>
      <c r="D6" s="60"/>
      <c r="E6" s="60"/>
      <c r="F6" s="79"/>
    </row>
    <row r="7" spans="1:6" ht="12.75">
      <c r="A7" s="3" t="s">
        <v>289</v>
      </c>
      <c r="B7" s="4" t="str">
        <f>VLOOKUP(A7,Insumos,2)</f>
        <v>cuadrilla tipo UOCRA</v>
      </c>
      <c r="C7" s="6" t="str">
        <f>VLOOKUP(A7,Insumos,3)</f>
        <v>h</v>
      </c>
      <c r="D7" s="60">
        <v>0.3</v>
      </c>
      <c r="E7" s="60">
        <f>VLOOKUP(A7,Insumos,4)</f>
        <v>21.86</v>
      </c>
      <c r="F7" s="79">
        <f>(D7*E7)</f>
        <v>6.558</v>
      </c>
    </row>
    <row r="8" spans="1:6" ht="12.75">
      <c r="A8" s="94" t="s">
        <v>1075</v>
      </c>
      <c r="D8" s="60"/>
      <c r="E8" s="60"/>
      <c r="F8" s="79"/>
    </row>
    <row r="9" spans="1:6" ht="12.75">
      <c r="A9" s="3" t="s">
        <v>295</v>
      </c>
      <c r="B9" s="4" t="str">
        <f>VLOOKUP(A9,Insumos,2)</f>
        <v>canasta 2 (mixer 5m3)</v>
      </c>
      <c r="C9" s="6" t="str">
        <f>VLOOKUP(A9,Insumos,3)</f>
        <v>h</v>
      </c>
      <c r="D9" s="60">
        <v>0.001</v>
      </c>
      <c r="E9" s="60">
        <f>VLOOKUP(A9,Insumos,4)</f>
        <v>262.81</v>
      </c>
      <c r="F9" s="79">
        <f>(D9*E9)</f>
        <v>0.26281</v>
      </c>
    </row>
    <row r="10" ht="13.5" thickBot="1">
      <c r="C10" s="90"/>
    </row>
    <row r="11" spans="1:7" ht="13.5" thickTop="1">
      <c r="A11" s="87" t="s">
        <v>1069</v>
      </c>
      <c r="B11" s="8" t="s">
        <v>375</v>
      </c>
      <c r="C11" s="89" t="str">
        <f>Fecha</f>
        <v>JUN/10</v>
      </c>
      <c r="D11" s="57"/>
      <c r="E11" s="57"/>
      <c r="F11" s="77">
        <f>SUM(F13:F20)</f>
        <v>63.077025</v>
      </c>
      <c r="G11" s="50"/>
    </row>
    <row r="12" spans="1:7" ht="13.5" thickBot="1">
      <c r="A12" s="7" t="s">
        <v>1068</v>
      </c>
      <c r="B12" s="7" t="s">
        <v>374</v>
      </c>
      <c r="C12" s="90" t="s">
        <v>1067</v>
      </c>
      <c r="D12" s="58" t="s">
        <v>416</v>
      </c>
      <c r="E12" s="59"/>
      <c r="F12" s="78"/>
      <c r="G12" s="51" t="s">
        <v>602</v>
      </c>
    </row>
    <row r="13" spans="1:6" ht="13.5" thickTop="1">
      <c r="A13" s="94" t="s">
        <v>1073</v>
      </c>
      <c r="D13" s="60"/>
      <c r="E13" s="60"/>
      <c r="F13" s="79"/>
    </row>
    <row r="14" spans="1:6" ht="12.75">
      <c r="A14" s="3" t="s">
        <v>432</v>
      </c>
      <c r="B14" s="4" t="str">
        <f>VLOOKUP(A14,Insumos,2)</f>
        <v>cemento blanco</v>
      </c>
      <c r="C14" s="6" t="str">
        <f>VLOOKUP(A14,Insumos,3)</f>
        <v>bolsa</v>
      </c>
      <c r="D14" s="60">
        <v>0.01</v>
      </c>
      <c r="E14" s="60">
        <f>VLOOKUP(A14,Insumos,4)</f>
        <v>65</v>
      </c>
      <c r="F14" s="79">
        <f>(D14*E14)</f>
        <v>0.65</v>
      </c>
    </row>
    <row r="15" spans="1:6" ht="12.75">
      <c r="A15" s="3" t="s">
        <v>306</v>
      </c>
      <c r="B15" s="4" t="str">
        <f>VLOOKUP(A15,Insumos,2)</f>
        <v>adhesivo p/piso cerámico</v>
      </c>
      <c r="C15" s="6" t="str">
        <f>VLOOKUP(A15,Insumos,3)</f>
        <v>kg</v>
      </c>
      <c r="D15" s="60">
        <v>3.5</v>
      </c>
      <c r="E15" s="60">
        <f>VLOOKUP(A15,Insumos,4)</f>
        <v>0.75</v>
      </c>
      <c r="F15" s="79">
        <f>(D15*E15)</f>
        <v>2.625</v>
      </c>
    </row>
    <row r="16" spans="1:6" ht="12.75">
      <c r="A16" s="3" t="s">
        <v>317</v>
      </c>
      <c r="B16" s="4" t="str">
        <f>VLOOKUP(A16,Insumos,2)</f>
        <v>azulejo 15x15 blanco</v>
      </c>
      <c r="C16" s="6" t="str">
        <f>VLOOKUP(A16,Insumos,3)</f>
        <v>m2</v>
      </c>
      <c r="D16" s="60">
        <v>1.05</v>
      </c>
      <c r="E16" s="60">
        <f>VLOOKUP(A16,Insumos,4)</f>
        <v>25.1</v>
      </c>
      <c r="F16" s="79">
        <f>(D16*E16)</f>
        <v>26.355000000000004</v>
      </c>
    </row>
    <row r="17" spans="1:6" ht="12.75">
      <c r="A17" s="94" t="s">
        <v>1074</v>
      </c>
      <c r="D17" s="60"/>
      <c r="E17" s="60"/>
      <c r="F17" s="79"/>
    </row>
    <row r="18" spans="1:6" ht="12.75">
      <c r="A18" s="3" t="s">
        <v>289</v>
      </c>
      <c r="B18" s="4" t="str">
        <f>VLOOKUP(A18,Insumos,2)</f>
        <v>cuadrilla tipo UOCRA</v>
      </c>
      <c r="C18" s="6" t="str">
        <f>VLOOKUP(A18,Insumos,3)</f>
        <v>h</v>
      </c>
      <c r="D18" s="60">
        <v>1.5</v>
      </c>
      <c r="E18" s="60">
        <f>VLOOKUP(A18,Insumos,4)</f>
        <v>21.86</v>
      </c>
      <c r="F18" s="79">
        <f>(D18*E18)</f>
        <v>32.79</v>
      </c>
    </row>
    <row r="19" spans="1:6" ht="12.75">
      <c r="A19" s="94" t="s">
        <v>1075</v>
      </c>
      <c r="D19" s="60"/>
      <c r="E19" s="60"/>
      <c r="F19" s="79"/>
    </row>
    <row r="20" spans="1:6" ht="12.75">
      <c r="A20" s="3" t="s">
        <v>295</v>
      </c>
      <c r="B20" s="4" t="str">
        <f>VLOOKUP(A20,Insumos,2)</f>
        <v>canasta 2 (mixer 5m3)</v>
      </c>
      <c r="C20" s="6" t="str">
        <f>VLOOKUP(A20,Insumos,3)</f>
        <v>h</v>
      </c>
      <c r="D20" s="60">
        <v>0.0025</v>
      </c>
      <c r="E20" s="60">
        <f>VLOOKUP(A20,Insumos,4)</f>
        <v>262.81</v>
      </c>
      <c r="F20" s="79">
        <f>(D20*E20)</f>
        <v>0.657025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workbookViewId="0" topLeftCell="A1">
      <selection activeCell="E5" sqref="E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1069</v>
      </c>
      <c r="B2" s="8" t="s">
        <v>376</v>
      </c>
      <c r="C2" s="89" t="str">
        <f>Fecha</f>
        <v>JUN/10</v>
      </c>
      <c r="D2" s="57"/>
      <c r="E2" s="57"/>
      <c r="F2" s="77">
        <f>SUM(F4:F12)</f>
        <v>9659.9274096</v>
      </c>
      <c r="G2" s="50"/>
    </row>
    <row r="3" spans="1:7" ht="13.5" thickBot="1">
      <c r="A3" s="7" t="s">
        <v>1068</v>
      </c>
      <c r="B3" s="7" t="s">
        <v>377</v>
      </c>
      <c r="C3" s="90" t="s">
        <v>1067</v>
      </c>
      <c r="D3" s="58" t="s">
        <v>417</v>
      </c>
      <c r="E3" s="59"/>
      <c r="F3" s="78"/>
      <c r="G3" s="51" t="s">
        <v>1070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318</v>
      </c>
      <c r="B5" s="4" t="str">
        <f>VLOOKUP(A5,Insumos,2)</f>
        <v>puerta tablero 0.90 x 2.00 cedro</v>
      </c>
      <c r="C5" s="6" t="str">
        <f>VLOOKUP(A5,Insumos,3)</f>
        <v>u</v>
      </c>
      <c r="D5" s="60">
        <v>1</v>
      </c>
      <c r="E5" s="60">
        <f>VLOOKUP(A5,Insumos,4)</f>
        <v>953.57</v>
      </c>
      <c r="F5" s="79">
        <f>(D5*E5)</f>
        <v>953.57</v>
      </c>
    </row>
    <row r="6" spans="1:6" ht="12.75">
      <c r="A6" s="3" t="s">
        <v>319</v>
      </c>
      <c r="B6" s="4" t="str">
        <f>VLOOKUP(A6,Insumos,2)</f>
        <v>puerta placa 0,70 x 2,00</v>
      </c>
      <c r="C6" s="6" t="str">
        <f>VLOOKUP(A6,Insumos,3)</f>
        <v>u</v>
      </c>
      <c r="D6" s="60">
        <v>4</v>
      </c>
      <c r="E6" s="60">
        <f>VLOOKUP(A6,Insumos,4)</f>
        <v>213.3519</v>
      </c>
      <c r="F6" s="79">
        <f>(D6*E6)</f>
        <v>853.4076</v>
      </c>
    </row>
    <row r="7" spans="1:6" ht="12.75">
      <c r="A7" s="3" t="s">
        <v>320</v>
      </c>
      <c r="B7" s="4" t="str">
        <f>VLOOKUP(A7,Insumos,2)</f>
        <v>ventana 2 H. abrir c/mco.met. 1,20x1,10</v>
      </c>
      <c r="C7" s="6" t="str">
        <f>VLOOKUP(A7,Insumos,3)</f>
        <v>u</v>
      </c>
      <c r="D7" s="60">
        <v>6.5</v>
      </c>
      <c r="E7" s="60">
        <f>VLOOKUP(A7,Insumos,4)</f>
        <v>1037.22</v>
      </c>
      <c r="F7" s="79">
        <f>(D7*E7)</f>
        <v>6741.93</v>
      </c>
    </row>
    <row r="8" spans="1:6" ht="12.75">
      <c r="A8" s="3" t="s">
        <v>748</v>
      </c>
      <c r="B8" s="4" t="str">
        <f>VLOOKUP(A8,Insumos,2)</f>
        <v>cerradura de seguridad </v>
      </c>
      <c r="C8" s="6" t="str">
        <f>VLOOKUP(A8,Insumos,3)</f>
        <v>u</v>
      </c>
      <c r="D8" s="60">
        <v>3.798</v>
      </c>
      <c r="E8" s="60">
        <f>VLOOKUP(A8,Insumos,4)</f>
        <v>42.9752</v>
      </c>
      <c r="F8" s="79">
        <f>(D8*E8)</f>
        <v>163.21980960000002</v>
      </c>
    </row>
    <row r="9" spans="1:6" ht="12.75">
      <c r="A9" s="94" t="s">
        <v>1074</v>
      </c>
      <c r="D9" s="60"/>
      <c r="E9" s="60"/>
      <c r="F9" s="79"/>
    </row>
    <row r="10" spans="1:6" ht="12.75">
      <c r="A10" s="3" t="s">
        <v>289</v>
      </c>
      <c r="B10" s="4" t="str">
        <f>VLOOKUP(A10,Insumos,2)</f>
        <v>cuadrilla tipo UOCRA</v>
      </c>
      <c r="C10" s="6" t="str">
        <f>VLOOKUP(A10,Insumos,3)</f>
        <v>h</v>
      </c>
      <c r="D10" s="60">
        <v>38</v>
      </c>
      <c r="E10" s="60">
        <f>VLOOKUP(A10,Insumos,4)</f>
        <v>21.86</v>
      </c>
      <c r="F10" s="79">
        <f>(D10*E10)</f>
        <v>830.68</v>
      </c>
    </row>
    <row r="11" spans="1:6" ht="12.75">
      <c r="A11" s="94" t="s">
        <v>1075</v>
      </c>
      <c r="D11" s="60"/>
      <c r="E11" s="60"/>
      <c r="F11" s="79"/>
    </row>
    <row r="12" spans="1:6" ht="12.75">
      <c r="A12" s="3" t="s">
        <v>290</v>
      </c>
      <c r="B12" s="4" t="str">
        <f>VLOOKUP(A12,Insumos,2)</f>
        <v>canasta 1 (camión volcador)</v>
      </c>
      <c r="C12" s="6" t="str">
        <f>VLOOKUP(A12,Insumos,3)</f>
        <v>h</v>
      </c>
      <c r="D12" s="60">
        <v>0.6</v>
      </c>
      <c r="E12" s="60">
        <f>VLOOKUP(A12,Insumos,4)</f>
        <v>195.2</v>
      </c>
      <c r="F12" s="79">
        <f>(D12*E12)</f>
        <v>117.11999999999999</v>
      </c>
    </row>
    <row r="13" spans="1:6" ht="12.75">
      <c r="A13" s="3"/>
      <c r="B13" s="4"/>
      <c r="C13" s="6"/>
      <c r="D13" s="60"/>
      <c r="E13" s="60"/>
      <c r="F13" s="79"/>
    </row>
    <row r="14" ht="13.5" thickBot="1"/>
    <row r="15" spans="1:7" ht="13.5" thickTop="1">
      <c r="A15" s="87" t="s">
        <v>1069</v>
      </c>
      <c r="B15" s="8" t="s">
        <v>482</v>
      </c>
      <c r="C15" s="89" t="str">
        <f>Fecha</f>
        <v>JUN/10</v>
      </c>
      <c r="D15" s="57"/>
      <c r="E15" s="57"/>
      <c r="F15" s="77">
        <f>SUM(F17:F22)</f>
        <v>7330.062</v>
      </c>
      <c r="G15" s="50"/>
    </row>
    <row r="16" spans="1:7" ht="13.5" thickBot="1">
      <c r="A16" s="7" t="s">
        <v>1068</v>
      </c>
      <c r="B16" s="7" t="s">
        <v>377</v>
      </c>
      <c r="C16" s="90" t="s">
        <v>1067</v>
      </c>
      <c r="D16" s="58" t="s">
        <v>483</v>
      </c>
      <c r="E16" s="59"/>
      <c r="F16" s="78"/>
      <c r="G16" s="51" t="s">
        <v>1070</v>
      </c>
    </row>
    <row r="17" spans="1:6" ht="13.5" thickTop="1">
      <c r="A17" s="94" t="s">
        <v>1073</v>
      </c>
      <c r="D17" s="60"/>
      <c r="E17" s="60"/>
      <c r="F17" s="79"/>
    </row>
    <row r="18" spans="1:6" ht="12.75">
      <c r="A18" s="3" t="s">
        <v>320</v>
      </c>
      <c r="B18" s="4" t="str">
        <f>VLOOKUP(A18,Insumos,2)</f>
        <v>ventana 2 H. abrir c/mco.met. 1,20x1,10</v>
      </c>
      <c r="C18" s="6" t="str">
        <f>VLOOKUP(A18,Insumos,3)</f>
        <v>u</v>
      </c>
      <c r="D18" s="60">
        <v>6.5</v>
      </c>
      <c r="E18" s="60">
        <f>VLOOKUP(A18,Insumos,4)</f>
        <v>1037.22</v>
      </c>
      <c r="F18" s="79">
        <f>(D18*E18)</f>
        <v>6741.93</v>
      </c>
    </row>
    <row r="19" spans="1:6" ht="12.75">
      <c r="A19" s="94" t="s">
        <v>1074</v>
      </c>
      <c r="D19" s="60"/>
      <c r="E19" s="60"/>
      <c r="F19" s="79"/>
    </row>
    <row r="20" spans="1:6" ht="12.75">
      <c r="A20" s="3" t="s">
        <v>289</v>
      </c>
      <c r="B20" s="4" t="str">
        <f>VLOOKUP(A20,Insumos,2)</f>
        <v>cuadrilla tipo UOCRA</v>
      </c>
      <c r="C20" s="6" t="str">
        <f>VLOOKUP(A20,Insumos,3)</f>
        <v>h</v>
      </c>
      <c r="D20" s="60">
        <v>24.5</v>
      </c>
      <c r="E20" s="60">
        <f>VLOOKUP(A20,Insumos,4)</f>
        <v>21.86</v>
      </c>
      <c r="F20" s="79">
        <f>(D20*E20)</f>
        <v>535.5699999999999</v>
      </c>
    </row>
    <row r="21" spans="1:6" ht="12.75">
      <c r="A21" s="94" t="s">
        <v>1075</v>
      </c>
      <c r="D21" s="60"/>
      <c r="E21" s="60"/>
      <c r="F21" s="79"/>
    </row>
    <row r="22" spans="1:6" ht="12.75">
      <c r="A22" s="3" t="s">
        <v>295</v>
      </c>
      <c r="B22" s="4" t="str">
        <f>VLOOKUP(A22,Insumos,2)</f>
        <v>canasta 2 (mixer 5m3)</v>
      </c>
      <c r="C22" s="6" t="str">
        <f>VLOOKUP(A22,Insumos,3)</f>
        <v>h</v>
      </c>
      <c r="D22" s="60">
        <v>0.2</v>
      </c>
      <c r="E22" s="60">
        <f>VLOOKUP(A22,Insumos,4)</f>
        <v>262.81</v>
      </c>
      <c r="F22" s="79">
        <f>(D22*E22)</f>
        <v>52.562000000000005</v>
      </c>
    </row>
    <row r="23" ht="13.5" thickBot="1"/>
    <row r="24" spans="1:7" ht="13.5" thickTop="1">
      <c r="A24" s="87" t="s">
        <v>1069</v>
      </c>
      <c r="B24" s="8" t="s">
        <v>484</v>
      </c>
      <c r="C24" s="89" t="str">
        <f>Fecha</f>
        <v>JUN/10</v>
      </c>
      <c r="D24" s="57"/>
      <c r="E24" s="57"/>
      <c r="F24" s="77">
        <f>SUM(F26:F33)</f>
        <v>2274.533868</v>
      </c>
      <c r="G24" s="50"/>
    </row>
    <row r="25" spans="1:7" ht="13.5" thickBot="1">
      <c r="A25" s="7" t="s">
        <v>1068</v>
      </c>
      <c r="B25" s="7" t="s">
        <v>377</v>
      </c>
      <c r="C25" s="90" t="s">
        <v>1067</v>
      </c>
      <c r="D25" s="58" t="s">
        <v>485</v>
      </c>
      <c r="E25" s="59"/>
      <c r="F25" s="78"/>
      <c r="G25" s="51" t="s">
        <v>1070</v>
      </c>
    </row>
    <row r="26" spans="1:6" ht="13.5" thickTop="1">
      <c r="A26" s="94" t="s">
        <v>1073</v>
      </c>
      <c r="D26" s="60"/>
      <c r="E26" s="60"/>
      <c r="F26" s="79"/>
    </row>
    <row r="27" spans="1:6" ht="12.75">
      <c r="A27" s="3" t="s">
        <v>748</v>
      </c>
      <c r="B27" s="4" t="str">
        <f>VLOOKUP(A27,Insumos,2)</f>
        <v>cerradura de seguridad </v>
      </c>
      <c r="C27" s="6" t="str">
        <f>VLOOKUP(A27,Insumos,3)</f>
        <v>u</v>
      </c>
      <c r="D27" s="60">
        <v>3.34</v>
      </c>
      <c r="E27" s="60">
        <f>VLOOKUP(A27,Insumos,4)</f>
        <v>42.9752</v>
      </c>
      <c r="F27" s="79">
        <f>(D27*E27)</f>
        <v>143.537168</v>
      </c>
    </row>
    <row r="28" spans="1:6" ht="12.75">
      <c r="A28" s="3" t="s">
        <v>318</v>
      </c>
      <c r="B28" s="4" t="str">
        <f>VLOOKUP(A28,Insumos,2)</f>
        <v>puerta tablero 0.90 x 2.00 cedro</v>
      </c>
      <c r="C28" s="6" t="str">
        <f>VLOOKUP(A28,Insumos,3)</f>
        <v>u</v>
      </c>
      <c r="D28" s="60">
        <v>1</v>
      </c>
      <c r="E28" s="60">
        <f>VLOOKUP(A28,Insumos,4)</f>
        <v>953.57</v>
      </c>
      <c r="F28" s="79">
        <f>(D28*E28)</f>
        <v>953.57</v>
      </c>
    </row>
    <row r="29" spans="1:6" ht="12.75">
      <c r="A29" s="3" t="s">
        <v>319</v>
      </c>
      <c r="B29" s="4" t="str">
        <f>VLOOKUP(A29,Insumos,2)</f>
        <v>puerta placa 0,70 x 2,00</v>
      </c>
      <c r="C29" s="6" t="str">
        <f>VLOOKUP(A29,Insumos,3)</f>
        <v>u</v>
      </c>
      <c r="D29" s="60">
        <v>4</v>
      </c>
      <c r="E29" s="60">
        <f>VLOOKUP(A29,Insumos,4)</f>
        <v>213.3519</v>
      </c>
      <c r="F29" s="79">
        <f>(D29*E29)</f>
        <v>853.4076</v>
      </c>
    </row>
    <row r="30" spans="1:6" ht="12.75">
      <c r="A30" s="94" t="s">
        <v>1074</v>
      </c>
      <c r="D30" s="60"/>
      <c r="E30" s="60"/>
      <c r="F30" s="79"/>
    </row>
    <row r="31" spans="1:6" ht="12.75">
      <c r="A31" s="3" t="s">
        <v>289</v>
      </c>
      <c r="B31" s="4" t="str">
        <f>VLOOKUP(A31,Insumos,2)</f>
        <v>cuadrilla tipo UOCRA</v>
      </c>
      <c r="C31" s="6" t="str">
        <f>VLOOKUP(A31,Insumos,3)</f>
        <v>h</v>
      </c>
      <c r="D31" s="60">
        <v>13.5</v>
      </c>
      <c r="E31" s="60">
        <f>VLOOKUP(A31,Insumos,4)</f>
        <v>21.86</v>
      </c>
      <c r="F31" s="79">
        <f>(D31*E31)</f>
        <v>295.11</v>
      </c>
    </row>
    <row r="32" spans="1:6" ht="12.75">
      <c r="A32" s="94" t="s">
        <v>1075</v>
      </c>
      <c r="D32" s="60"/>
      <c r="E32" s="60"/>
      <c r="F32" s="79"/>
    </row>
    <row r="33" spans="1:6" ht="12.75">
      <c r="A33" s="3" t="s">
        <v>295</v>
      </c>
      <c r="B33" s="4" t="str">
        <f>VLOOKUP(A33,Insumos,2)</f>
        <v>canasta 2 (mixer 5m3)</v>
      </c>
      <c r="C33" s="6" t="str">
        <f>VLOOKUP(A33,Insumos,3)</f>
        <v>h</v>
      </c>
      <c r="D33" s="60">
        <v>0.11</v>
      </c>
      <c r="E33" s="60">
        <f>VLOOKUP(A33,Insumos,4)</f>
        <v>262.81</v>
      </c>
      <c r="F33" s="79">
        <f>(D33*E33)</f>
        <v>28.9091</v>
      </c>
    </row>
    <row r="34" ht="13.5" thickBot="1"/>
    <row r="35" spans="1:7" ht="13.5" thickTop="1">
      <c r="A35" s="87" t="s">
        <v>1069</v>
      </c>
      <c r="B35" s="8" t="s">
        <v>1061</v>
      </c>
      <c r="C35" s="89" t="str">
        <f>Fecha</f>
        <v>JUN/10</v>
      </c>
      <c r="D35" s="57"/>
      <c r="E35" s="57"/>
      <c r="F35" s="77">
        <f>SUM(F37:F45)</f>
        <v>2493.133868</v>
      </c>
      <c r="G35" s="50"/>
    </row>
    <row r="36" spans="1:7" ht="13.5" thickBot="1">
      <c r="A36" s="7" t="s">
        <v>1068</v>
      </c>
      <c r="B36" s="7" t="s">
        <v>377</v>
      </c>
      <c r="C36" s="90" t="s">
        <v>1067</v>
      </c>
      <c r="D36" s="58" t="s">
        <v>1060</v>
      </c>
      <c r="E36" s="59"/>
      <c r="F36" s="78"/>
      <c r="G36" s="51" t="s">
        <v>1070</v>
      </c>
    </row>
    <row r="37" spans="1:6" ht="13.5" thickTop="1">
      <c r="A37" s="94" t="s">
        <v>1073</v>
      </c>
      <c r="D37" s="60"/>
      <c r="E37" s="60"/>
      <c r="F37" s="79"/>
    </row>
    <row r="38" spans="1:6" ht="12.75">
      <c r="A38" s="3" t="s">
        <v>748</v>
      </c>
      <c r="B38" s="4" t="str">
        <f>VLOOKUP(A38,Insumos,2)</f>
        <v>cerradura de seguridad </v>
      </c>
      <c r="C38" s="6" t="str">
        <f>VLOOKUP(A38,Insumos,3)</f>
        <v>u</v>
      </c>
      <c r="D38" s="60">
        <v>3.34</v>
      </c>
      <c r="E38" s="60">
        <f>VLOOKUP(A38,Insumos,4)</f>
        <v>42.9752</v>
      </c>
      <c r="F38" s="79">
        <f>(D38*E38)</f>
        <v>143.537168</v>
      </c>
    </row>
    <row r="39" spans="1:6" ht="12.75">
      <c r="A39" s="3" t="s">
        <v>318</v>
      </c>
      <c r="B39" s="4" t="str">
        <f>VLOOKUP(A39,Insumos,2)</f>
        <v>puerta tablero 0.90 x 2.00 cedro</v>
      </c>
      <c r="C39" s="6" t="str">
        <f>VLOOKUP(A39,Insumos,3)</f>
        <v>u</v>
      </c>
      <c r="D39" s="60">
        <v>1</v>
      </c>
      <c r="E39" s="60">
        <f>VLOOKUP(A39,Insumos,4)</f>
        <v>953.57</v>
      </c>
      <c r="F39" s="79">
        <f>(D39*E39)</f>
        <v>953.57</v>
      </c>
    </row>
    <row r="40" spans="1:6" ht="12.75">
      <c r="A40" s="3" t="s">
        <v>319</v>
      </c>
      <c r="B40" s="4" t="str">
        <f>VLOOKUP(A40,Insumos,2)</f>
        <v>puerta placa 0,70 x 2,00</v>
      </c>
      <c r="C40" s="6" t="str">
        <f>VLOOKUP(A40,Insumos,3)</f>
        <v>u</v>
      </c>
      <c r="D40" s="60">
        <v>4</v>
      </c>
      <c r="E40" s="60">
        <f>VLOOKUP(A40,Insumos,4)</f>
        <v>213.3519</v>
      </c>
      <c r="F40" s="79">
        <f>(D40*E40)</f>
        <v>853.4076</v>
      </c>
    </row>
    <row r="41" spans="1:6" ht="12.75">
      <c r="A41" s="3" t="s">
        <v>747</v>
      </c>
      <c r="B41" s="4" t="str">
        <f>VLOOKUP(A41,Insumos,2)</f>
        <v>placard c/ptas. placas  incl. inter.c/ melamina</v>
      </c>
      <c r="C41" s="6" t="str">
        <f>VLOOKUP(A41,Insumos,3)</f>
        <v>u</v>
      </c>
      <c r="D41" s="60">
        <v>3</v>
      </c>
      <c r="E41" s="60">
        <f>VLOOKUP(A41,Insumos,4)</f>
        <v>0</v>
      </c>
      <c r="F41" s="79">
        <f>(D41*E41)</f>
        <v>0</v>
      </c>
    </row>
    <row r="42" spans="1:6" ht="12.75">
      <c r="A42" s="94" t="s">
        <v>1074</v>
      </c>
      <c r="D42" s="60"/>
      <c r="E42" s="60"/>
      <c r="F42" s="79"/>
    </row>
    <row r="43" spans="1:6" ht="12.75">
      <c r="A43" s="3" t="s">
        <v>289</v>
      </c>
      <c r="B43" s="4" t="str">
        <f>VLOOKUP(A43,Insumos,2)</f>
        <v>cuadrilla tipo UOCRA</v>
      </c>
      <c r="C43" s="6" t="str">
        <f>VLOOKUP(A43,Insumos,3)</f>
        <v>h</v>
      </c>
      <c r="D43" s="60">
        <f>13.5+10</f>
        <v>23.5</v>
      </c>
      <c r="E43" s="60">
        <f>VLOOKUP(A43,Insumos,4)</f>
        <v>21.86</v>
      </c>
      <c r="F43" s="79">
        <f>(D43*E43)</f>
        <v>513.71</v>
      </c>
    </row>
    <row r="44" spans="1:6" ht="12.75">
      <c r="A44" s="94" t="s">
        <v>1075</v>
      </c>
      <c r="D44" s="60"/>
      <c r="E44" s="60"/>
      <c r="F44" s="79"/>
    </row>
    <row r="45" spans="1:6" ht="12.75">
      <c r="A45" s="3" t="s">
        <v>295</v>
      </c>
      <c r="B45" s="4" t="str">
        <f>VLOOKUP(A45,Insumos,2)</f>
        <v>canasta 2 (mixer 5m3)</v>
      </c>
      <c r="C45" s="6" t="str">
        <f>VLOOKUP(A45,Insumos,3)</f>
        <v>h</v>
      </c>
      <c r="D45" s="60">
        <v>0.11</v>
      </c>
      <c r="E45" s="60">
        <f>VLOOKUP(A45,Insumos,4)</f>
        <v>262.81</v>
      </c>
      <c r="F45" s="79">
        <f>(D45*E45)</f>
        <v>28.9091</v>
      </c>
    </row>
    <row r="46" ht="13.5" thickBot="1"/>
    <row r="47" spans="1:7" ht="13.5" thickTop="1">
      <c r="A47" s="87" t="s">
        <v>1069</v>
      </c>
      <c r="B47" s="8" t="s">
        <v>1076</v>
      </c>
      <c r="C47" s="89" t="str">
        <f>Fecha</f>
        <v>JUN/10</v>
      </c>
      <c r="D47" s="57"/>
      <c r="E47" s="57"/>
      <c r="F47" s="77">
        <f>SUM(F49:F54)</f>
        <v>99274.64519999998</v>
      </c>
      <c r="G47" s="50"/>
    </row>
    <row r="48" spans="1:7" ht="13.5" thickBot="1">
      <c r="A48" s="7" t="s">
        <v>1068</v>
      </c>
      <c r="B48" s="7" t="s">
        <v>377</v>
      </c>
      <c r="C48" s="90" t="s">
        <v>1067</v>
      </c>
      <c r="D48" s="58" t="s">
        <v>1077</v>
      </c>
      <c r="E48" s="59"/>
      <c r="F48" s="78"/>
      <c r="G48" s="51" t="s">
        <v>1070</v>
      </c>
    </row>
    <row r="49" spans="1:6" ht="13.5" thickTop="1">
      <c r="A49" s="94" t="s">
        <v>1073</v>
      </c>
      <c r="D49" s="60"/>
      <c r="E49" s="60"/>
      <c r="F49" s="79"/>
    </row>
    <row r="50" spans="1:6" ht="12.75">
      <c r="A50" s="3" t="s">
        <v>320</v>
      </c>
      <c r="B50" s="4" t="str">
        <f>VLOOKUP(A50,Insumos,2)</f>
        <v>ventana 2 H. abrir c/mco.met. 1,20x1,10</v>
      </c>
      <c r="C50" s="6" t="str">
        <f>VLOOKUP(A50,Insumos,3)</f>
        <v>u</v>
      </c>
      <c r="D50" s="60">
        <v>79.41</v>
      </c>
      <c r="E50" s="60">
        <f>VLOOKUP(A50,Insumos,4)</f>
        <v>1037.22</v>
      </c>
      <c r="F50" s="79">
        <f>(D50*E50)</f>
        <v>82365.6402</v>
      </c>
    </row>
    <row r="51" spans="1:6" ht="12.75">
      <c r="A51" s="94" t="s">
        <v>1074</v>
      </c>
      <c r="D51" s="60"/>
      <c r="E51" s="60"/>
      <c r="F51" s="79"/>
    </row>
    <row r="52" spans="1:6" ht="12.75">
      <c r="A52" s="3" t="s">
        <v>289</v>
      </c>
      <c r="B52" s="4" t="str">
        <f>VLOOKUP(A52,Insumos,2)</f>
        <v>cuadrilla tipo UOCRA</v>
      </c>
      <c r="C52" s="6" t="str">
        <f>VLOOKUP(A52,Insumos,3)</f>
        <v>h</v>
      </c>
      <c r="D52" s="60">
        <v>680.46</v>
      </c>
      <c r="E52" s="60">
        <f>VLOOKUP(A52,Insumos,4)</f>
        <v>21.86</v>
      </c>
      <c r="F52" s="79">
        <f>(D52*E52)</f>
        <v>14874.8556</v>
      </c>
    </row>
    <row r="53" spans="1:6" ht="12.75">
      <c r="A53" s="94" t="s">
        <v>1075</v>
      </c>
      <c r="D53" s="60"/>
      <c r="E53" s="60"/>
      <c r="F53" s="79"/>
    </row>
    <row r="54" spans="1:6" ht="12.75">
      <c r="A54" s="3" t="s">
        <v>295</v>
      </c>
      <c r="B54" s="4" t="str">
        <f>VLOOKUP(A54,Insumos,2)</f>
        <v>canasta 2 (mixer 5m3)</v>
      </c>
      <c r="C54" s="6" t="str">
        <f>VLOOKUP(A54,Insumos,3)</f>
        <v>h</v>
      </c>
      <c r="D54" s="60">
        <v>7.74</v>
      </c>
      <c r="E54" s="60">
        <f>VLOOKUP(A54,Insumos,4)</f>
        <v>262.81</v>
      </c>
      <c r="F54" s="79">
        <f>(D54*E54)</f>
        <v>2034.1494</v>
      </c>
    </row>
    <row r="55" ht="13.5" thickBot="1"/>
    <row r="56" spans="1:7" ht="13.5" thickTop="1">
      <c r="A56" s="87" t="s">
        <v>1069</v>
      </c>
      <c r="B56" s="8" t="s">
        <v>1079</v>
      </c>
      <c r="C56" s="89" t="str">
        <f>Fecha</f>
        <v>JUN/10</v>
      </c>
      <c r="D56" s="57"/>
      <c r="E56" s="57"/>
      <c r="F56" s="77">
        <f>SUM(F58:F64)</f>
        <v>19005.854821999998</v>
      </c>
      <c r="G56" s="50"/>
    </row>
    <row r="57" spans="1:7" ht="13.5" thickBot="1">
      <c r="A57" s="7" t="s">
        <v>1068</v>
      </c>
      <c r="B57" s="7" t="s">
        <v>377</v>
      </c>
      <c r="C57" s="90" t="s">
        <v>1067</v>
      </c>
      <c r="D57" s="58" t="s">
        <v>1078</v>
      </c>
      <c r="E57" s="59"/>
      <c r="F57" s="78"/>
      <c r="G57" s="51" t="s">
        <v>1070</v>
      </c>
    </row>
    <row r="58" spans="1:6" ht="13.5" thickTop="1">
      <c r="A58" s="94" t="s">
        <v>1073</v>
      </c>
      <c r="D58" s="60"/>
      <c r="E58" s="60"/>
      <c r="F58" s="79"/>
    </row>
    <row r="59" spans="1:6" ht="12.75">
      <c r="A59" s="3" t="s">
        <v>748</v>
      </c>
      <c r="B59" s="4" t="str">
        <f>VLOOKUP(A59,Insumos,2)</f>
        <v>cerradura de seguridad </v>
      </c>
      <c r="C59" s="6" t="str">
        <f>VLOOKUP(A59,Insumos,3)</f>
        <v>u</v>
      </c>
      <c r="D59" s="60">
        <v>17.32</v>
      </c>
      <c r="E59" s="60">
        <f>VLOOKUP(A59,Insumos,4)</f>
        <v>42.9752</v>
      </c>
      <c r="F59" s="79">
        <f>(D59*E59)</f>
        <v>744.330464</v>
      </c>
    </row>
    <row r="60" spans="1:6" ht="12.75">
      <c r="A60" s="3" t="s">
        <v>319</v>
      </c>
      <c r="B60" s="4" t="str">
        <f>VLOOKUP(A60,Insumos,2)</f>
        <v>puerta placa 0,70 x 2,00</v>
      </c>
      <c r="C60" s="6" t="str">
        <f>VLOOKUP(A60,Insumos,3)</f>
        <v>u</v>
      </c>
      <c r="D60" s="60">
        <v>65.82</v>
      </c>
      <c r="E60" s="60">
        <f>VLOOKUP(A60,Insumos,4)</f>
        <v>213.3519</v>
      </c>
      <c r="F60" s="79">
        <f>(D60*E60)</f>
        <v>14042.822057999998</v>
      </c>
    </row>
    <row r="61" spans="1:6" ht="12.75">
      <c r="A61" s="94" t="s">
        <v>1074</v>
      </c>
      <c r="D61" s="60"/>
      <c r="E61" s="60"/>
      <c r="F61" s="79"/>
    </row>
    <row r="62" spans="1:6" ht="12.75">
      <c r="A62" s="3" t="s">
        <v>289</v>
      </c>
      <c r="B62" s="4" t="str">
        <f>VLOOKUP(A62,Insumos,2)</f>
        <v>cuadrilla tipo UOCRA</v>
      </c>
      <c r="C62" s="6" t="str">
        <f>VLOOKUP(A62,Insumos,3)</f>
        <v>h</v>
      </c>
      <c r="D62" s="60">
        <v>167.62</v>
      </c>
      <c r="E62" s="60">
        <f>VLOOKUP(A62,Insumos,4)</f>
        <v>21.86</v>
      </c>
      <c r="F62" s="79">
        <f>(D62*E62)</f>
        <v>3664.1732</v>
      </c>
    </row>
    <row r="63" spans="1:6" ht="12.75">
      <c r="A63" s="94" t="s">
        <v>1075</v>
      </c>
      <c r="D63" s="60"/>
      <c r="E63" s="60"/>
      <c r="F63" s="79"/>
    </row>
    <row r="64" spans="1:6" ht="12.75">
      <c r="A64" s="3" t="s">
        <v>295</v>
      </c>
      <c r="B64" s="4" t="str">
        <f>VLOOKUP(A64,Insumos,2)</f>
        <v>canasta 2 (mixer 5m3)</v>
      </c>
      <c r="C64" s="6" t="str">
        <f>VLOOKUP(A64,Insumos,3)</f>
        <v>h</v>
      </c>
      <c r="D64" s="60">
        <v>2.11</v>
      </c>
      <c r="E64" s="60">
        <f>VLOOKUP(A64,Insumos,4)</f>
        <v>262.81</v>
      </c>
      <c r="F64" s="79">
        <f>(D64*E64)</f>
        <v>554.5291</v>
      </c>
    </row>
  </sheetData>
  <sheetProtection password="DF1D" sheet="1" objects="1" scenarios="1"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workbookViewId="0" topLeftCell="A1">
      <selection activeCell="A1" sqref="A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1069</v>
      </c>
      <c r="B2" s="8" t="s">
        <v>506</v>
      </c>
      <c r="C2" s="89" t="str">
        <f>Fecha</f>
        <v>JUN/10</v>
      </c>
      <c r="D2" s="57"/>
      <c r="E2" s="57"/>
      <c r="F2" s="77">
        <f>SUM(F4:F11)</f>
        <v>758.902685</v>
      </c>
      <c r="G2" s="50"/>
    </row>
    <row r="3" spans="1:7" ht="13.5" thickBot="1">
      <c r="A3" s="7" t="s">
        <v>1068</v>
      </c>
      <c r="B3" s="7" t="s">
        <v>378</v>
      </c>
      <c r="C3" s="90" t="s">
        <v>1067</v>
      </c>
      <c r="D3" s="58" t="s">
        <v>542</v>
      </c>
      <c r="E3" s="59"/>
      <c r="F3" s="78"/>
      <c r="G3" s="51" t="s">
        <v>1070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2" t="s">
        <v>863</v>
      </c>
      <c r="B5" s="4" t="str">
        <f>VLOOKUP(A5,'IN-06-10'!$A$5:$D$440,2)</f>
        <v>medidor de agua</v>
      </c>
      <c r="C5" s="4" t="str">
        <f>VLOOKUP(A5,'IN-06-10'!$A$5:$D$440,3)</f>
        <v>u</v>
      </c>
      <c r="D5" s="60">
        <v>1</v>
      </c>
      <c r="E5" s="4">
        <f>VLOOKUP(A5,'IN-06-10'!$A$5:$D$440,4)</f>
        <v>177.781</v>
      </c>
      <c r="F5" s="79">
        <f>(D5*E5)</f>
        <v>177.781</v>
      </c>
    </row>
    <row r="6" spans="1:6" ht="12.75">
      <c r="A6" s="3" t="s">
        <v>441</v>
      </c>
      <c r="B6" s="4" t="str">
        <f>VLOOKUP(A6,'IN-06-10'!$A$5:$D$440,2)</f>
        <v>kit medidor agua aprob. ASSA</v>
      </c>
      <c r="C6" s="4" t="str">
        <f>VLOOKUP(A6,'IN-06-10'!$A$5:$D$440,3)</f>
        <v>u</v>
      </c>
      <c r="D6" s="60">
        <v>1.55</v>
      </c>
      <c r="E6" s="4">
        <f>VLOOKUP(A6,'IN-06-10'!$A$5:$D$440,4)</f>
        <v>127.2727</v>
      </c>
      <c r="F6" s="79">
        <f>(D6*E6)</f>
        <v>197.272685</v>
      </c>
    </row>
    <row r="7" spans="1:6" ht="12.75">
      <c r="A7" s="3" t="s">
        <v>442</v>
      </c>
      <c r="B7" s="4" t="str">
        <f>VLOOKUP(A7,'IN-06-10'!$A$5:$D$440,2)</f>
        <v>gabinete p/medidor agua aprobado ASSA</v>
      </c>
      <c r="C7" s="4" t="str">
        <f>VLOOKUP(A7,'IN-06-10'!$A$5:$D$440,3)</f>
        <v>u</v>
      </c>
      <c r="D7" s="60">
        <v>1</v>
      </c>
      <c r="E7" s="4">
        <f>VLOOKUP(A7,'IN-06-10'!$A$5:$D$440,4)</f>
        <v>60.849</v>
      </c>
      <c r="F7" s="79">
        <f>(D7*E7)</f>
        <v>60.849</v>
      </c>
    </row>
    <row r="8" spans="1:6" ht="12.75">
      <c r="A8" s="94" t="s">
        <v>1074</v>
      </c>
      <c r="D8" s="60"/>
      <c r="E8" s="60"/>
      <c r="F8" s="79"/>
    </row>
    <row r="9" spans="1:6" ht="12.75">
      <c r="A9" s="3" t="s">
        <v>325</v>
      </c>
      <c r="B9" s="4" t="str">
        <f>VLOOKUP(A9,Insumos,2)</f>
        <v>cuadrilla tipo U.G.A.T.S.</v>
      </c>
      <c r="C9" s="6" t="str">
        <f>VLOOKUP(A9,Insumos,3)</f>
        <v>h</v>
      </c>
      <c r="D9" s="60">
        <v>12</v>
      </c>
      <c r="E9" s="60">
        <f>VLOOKUP(A9,Insumos,4)</f>
        <v>25.29</v>
      </c>
      <c r="F9" s="79">
        <f>(D9*E9)</f>
        <v>303.48</v>
      </c>
    </row>
    <row r="10" spans="1:6" ht="12.75">
      <c r="A10" s="94" t="s">
        <v>1075</v>
      </c>
      <c r="C10" s="6"/>
      <c r="D10" s="60"/>
      <c r="E10" s="60"/>
      <c r="F10" s="79"/>
    </row>
    <row r="11" spans="1:6" ht="12.75">
      <c r="A11" s="3" t="s">
        <v>290</v>
      </c>
      <c r="B11" s="4" t="str">
        <f>VLOOKUP(A11,Insumos,2)</f>
        <v>canasta 1 (camión volcador)</v>
      </c>
      <c r="C11" s="6" t="str">
        <f>VLOOKUP(A11,Insumos,3)</f>
        <v>h</v>
      </c>
      <c r="D11" s="60">
        <v>0.1</v>
      </c>
      <c r="E11" s="60">
        <f>VLOOKUP(A11,Insumos,4)</f>
        <v>195.2</v>
      </c>
      <c r="F11" s="79">
        <f>(D11*E11)</f>
        <v>19.52</v>
      </c>
    </row>
    <row r="12" spans="1:6" ht="13.5" thickBot="1">
      <c r="A12" s="3"/>
      <c r="B12" s="4"/>
      <c r="C12" s="6"/>
      <c r="D12" s="60"/>
      <c r="E12" s="60"/>
      <c r="F12" s="79"/>
    </row>
    <row r="13" spans="1:7" ht="13.5" thickTop="1">
      <c r="A13" s="87" t="s">
        <v>1069</v>
      </c>
      <c r="B13" s="8" t="s">
        <v>543</v>
      </c>
      <c r="C13" s="89" t="str">
        <f>Fecha</f>
        <v>JUN/10</v>
      </c>
      <c r="D13" s="57"/>
      <c r="E13" s="57"/>
      <c r="F13" s="77">
        <f>SUM(F15:F24)</f>
        <v>1549.1799999999998</v>
      </c>
      <c r="G13" s="50"/>
    </row>
    <row r="14" spans="1:7" ht="13.5" thickBot="1">
      <c r="A14" s="7" t="s">
        <v>1068</v>
      </c>
      <c r="B14" s="7" t="s">
        <v>378</v>
      </c>
      <c r="C14" s="90" t="s">
        <v>1067</v>
      </c>
      <c r="D14" s="58" t="s">
        <v>544</v>
      </c>
      <c r="E14" s="59"/>
      <c r="F14" s="78"/>
      <c r="G14" s="51" t="s">
        <v>1070</v>
      </c>
    </row>
    <row r="15" spans="1:6" ht="13.5" thickTop="1">
      <c r="A15" s="94" t="s">
        <v>1073</v>
      </c>
      <c r="D15" s="60"/>
      <c r="E15" s="60"/>
      <c r="F15" s="79"/>
    </row>
    <row r="16" spans="1:6" ht="12.75">
      <c r="A16" s="3" t="s">
        <v>322</v>
      </c>
      <c r="B16" s="4" t="str">
        <f>VLOOKUP(A16,'IN-06-10'!$A$5:$D$440,2)</f>
        <v>codo IPS 19 mm</v>
      </c>
      <c r="C16" s="4" t="str">
        <f>VLOOKUP(A16,'IN-06-10'!$A$5:$D$440,3)</f>
        <v>u</v>
      </c>
      <c r="D16" s="60">
        <v>45</v>
      </c>
      <c r="E16" s="4">
        <f>VLOOKUP(A16,'IN-06-10'!$A$5:$D$440,4)</f>
        <v>1.2562</v>
      </c>
      <c r="F16" s="79">
        <f>(D16*E16)</f>
        <v>56.528999999999996</v>
      </c>
    </row>
    <row r="17" spans="1:6" ht="12.75">
      <c r="A17" s="3" t="s">
        <v>323</v>
      </c>
      <c r="B17" s="4" t="str">
        <f>VLOOKUP(A17,'IN-06-10'!$A$5:$D$440,2)</f>
        <v>caño H-3 tricapa 19 mm</v>
      </c>
      <c r="C17" s="4" t="str">
        <f>VLOOKUP(A17,'IN-06-10'!$A$5:$D$440,3)</f>
        <v>m</v>
      </c>
      <c r="D17" s="60">
        <v>46.5</v>
      </c>
      <c r="E17" s="4">
        <f>VLOOKUP(A17,'IN-06-10'!$A$5:$D$440,4)</f>
        <v>8.5524</v>
      </c>
      <c r="F17" s="79">
        <f>(D17*E17)</f>
        <v>397.6866</v>
      </c>
    </row>
    <row r="18" spans="1:6" ht="12.75">
      <c r="A18" s="3" t="s">
        <v>324</v>
      </c>
      <c r="B18" s="4" t="str">
        <f>VLOOKUP(A18,'IN-06-10'!$A$5:$D$440,2)</f>
        <v>llave de paso de bronce 0.019</v>
      </c>
      <c r="C18" s="4" t="str">
        <f>VLOOKUP(A18,'IN-06-10'!$A$5:$D$440,3)</f>
        <v>u</v>
      </c>
      <c r="D18" s="60">
        <v>6</v>
      </c>
      <c r="E18" s="4">
        <f>VLOOKUP(A18,'IN-06-10'!$A$5:$D$440,4)</f>
        <v>32.6364</v>
      </c>
      <c r="F18" s="79">
        <f>(D18*E18)</f>
        <v>195.8184</v>
      </c>
    </row>
    <row r="19" spans="1:6" ht="12.75">
      <c r="A19" s="3" t="s">
        <v>433</v>
      </c>
      <c r="B19" s="4" t="str">
        <f>VLOOKUP(A19,'IN-06-10'!$A$5:$D$440,2)</f>
        <v>Tanque de reserva 500 lts. FºCº</v>
      </c>
      <c r="C19" s="4" t="str">
        <f>VLOOKUP(A19,'IN-06-10'!$A$5:$D$440,3)</f>
        <v>u</v>
      </c>
      <c r="D19" s="60">
        <v>1</v>
      </c>
      <c r="E19" s="4">
        <f>VLOOKUP(A19,'IN-06-10'!$A$5:$D$440,4)</f>
        <v>0</v>
      </c>
      <c r="F19" s="79">
        <f>(D19*E19)</f>
        <v>0</v>
      </c>
    </row>
    <row r="20" spans="1:6" ht="12.75">
      <c r="A20" s="3" t="s">
        <v>440</v>
      </c>
      <c r="B20" s="4" t="str">
        <f>VLOOKUP(A20,'IN-06-10'!$A$5:$D$440,2)</f>
        <v>tee IPS 19 mm</v>
      </c>
      <c r="C20" s="4" t="str">
        <f>VLOOKUP(A20,'IN-06-10'!$A$5:$D$440,3)</f>
        <v>u</v>
      </c>
      <c r="D20" s="60">
        <v>30</v>
      </c>
      <c r="E20" s="4">
        <f>VLOOKUP(A20,'IN-06-10'!$A$5:$D$440,4)</f>
        <v>1.6942</v>
      </c>
      <c r="F20" s="79">
        <f>(D20*E20)</f>
        <v>50.826</v>
      </c>
    </row>
    <row r="21" spans="1:6" ht="12.75">
      <c r="A21" s="94" t="s">
        <v>1074</v>
      </c>
      <c r="D21" s="60"/>
      <c r="E21" s="60"/>
      <c r="F21" s="79"/>
    </row>
    <row r="22" spans="1:6" ht="12.75">
      <c r="A22" s="3" t="s">
        <v>325</v>
      </c>
      <c r="B22" s="4" t="str">
        <f>VLOOKUP(A22,Insumos,2)</f>
        <v>cuadrilla tipo U.G.A.T.S.</v>
      </c>
      <c r="C22" s="6" t="str">
        <f>VLOOKUP(A22,Insumos,3)</f>
        <v>h</v>
      </c>
      <c r="D22" s="60">
        <v>32</v>
      </c>
      <c r="E22" s="60">
        <f>VLOOKUP(A22,Insumos,4)</f>
        <v>25.29</v>
      </c>
      <c r="F22" s="79">
        <f>(D22*E22)</f>
        <v>809.28</v>
      </c>
    </row>
    <row r="23" spans="1:6" ht="12.75">
      <c r="A23" s="94" t="s">
        <v>1075</v>
      </c>
      <c r="D23" s="60"/>
      <c r="E23" s="60"/>
      <c r="F23" s="79"/>
    </row>
    <row r="24" spans="1:6" ht="12.75">
      <c r="A24" s="3" t="s">
        <v>290</v>
      </c>
      <c r="B24" s="4" t="str">
        <f>VLOOKUP(A24,Insumos,2)</f>
        <v>canasta 1 (camión volcador)</v>
      </c>
      <c r="C24" s="6" t="str">
        <f>VLOOKUP(A24,Insumos,3)</f>
        <v>h</v>
      </c>
      <c r="D24" s="60">
        <v>0.2</v>
      </c>
      <c r="E24" s="60">
        <f>VLOOKUP(A24,Insumos,4)</f>
        <v>195.2</v>
      </c>
      <c r="F24" s="79">
        <f>(D24*E24)</f>
        <v>39.04</v>
      </c>
    </row>
    <row r="25" ht="13.5" thickBot="1"/>
    <row r="26" spans="1:7" ht="13.5" thickTop="1">
      <c r="A26" s="87" t="s">
        <v>1069</v>
      </c>
      <c r="B26" s="8" t="s">
        <v>545</v>
      </c>
      <c r="C26" s="89" t="str">
        <f>Fecha</f>
        <v>JUN/10</v>
      </c>
      <c r="D26" s="57"/>
      <c r="E26" s="57"/>
      <c r="F26" s="77">
        <f>SUM(F28:F40)</f>
        <v>2308.082685</v>
      </c>
      <c r="G26" s="50"/>
    </row>
    <row r="27" spans="1:7" ht="13.5" thickBot="1">
      <c r="A27" s="7" t="s">
        <v>1068</v>
      </c>
      <c r="B27" s="7" t="s">
        <v>378</v>
      </c>
      <c r="C27" s="90" t="s">
        <v>1067</v>
      </c>
      <c r="D27" s="58" t="s">
        <v>507</v>
      </c>
      <c r="E27" s="59"/>
      <c r="F27" s="78"/>
      <c r="G27" s="51" t="s">
        <v>1070</v>
      </c>
    </row>
    <row r="28" spans="1:6" ht="13.5" thickTop="1">
      <c r="A28" s="94" t="s">
        <v>1073</v>
      </c>
      <c r="D28" s="60"/>
      <c r="E28" s="60"/>
      <c r="F28" s="79"/>
    </row>
    <row r="29" spans="1:6" ht="12.75">
      <c r="A29" s="3" t="s">
        <v>322</v>
      </c>
      <c r="B29" s="4" t="str">
        <f>VLOOKUP(A29,'IN-06-10'!$A$5:$D$440,2)</f>
        <v>codo IPS 19 mm</v>
      </c>
      <c r="C29" s="4" t="str">
        <f>VLOOKUP(A29,'IN-06-10'!$A$5:$D$440,3)</f>
        <v>u</v>
      </c>
      <c r="D29" s="60">
        <v>45</v>
      </c>
      <c r="E29" s="4">
        <f>VLOOKUP(A29,'IN-06-10'!$A$5:$D$440,4)</f>
        <v>1.2562</v>
      </c>
      <c r="F29" s="79">
        <f aca="true" t="shared" si="0" ref="F29:F36">(D29*E29)</f>
        <v>56.528999999999996</v>
      </c>
    </row>
    <row r="30" spans="1:6" ht="12.75">
      <c r="A30" s="3" t="s">
        <v>323</v>
      </c>
      <c r="B30" s="4" t="str">
        <f>VLOOKUP(A30,'IN-06-10'!$A$5:$D$440,2)</f>
        <v>caño H-3 tricapa 19 mm</v>
      </c>
      <c r="C30" s="4" t="str">
        <f>VLOOKUP(A30,'IN-06-10'!$A$5:$D$440,3)</f>
        <v>m</v>
      </c>
      <c r="D30" s="60">
        <v>46.5</v>
      </c>
      <c r="E30" s="4">
        <f>VLOOKUP(A30,'IN-06-10'!$A$5:$D$440,4)</f>
        <v>8.5524</v>
      </c>
      <c r="F30" s="79">
        <f t="shared" si="0"/>
        <v>397.6866</v>
      </c>
    </row>
    <row r="31" spans="1:6" ht="15" customHeight="1">
      <c r="A31" s="3" t="s">
        <v>324</v>
      </c>
      <c r="B31" s="4" t="str">
        <f>VLOOKUP(A31,'IN-06-10'!$A$5:$D$440,2)</f>
        <v>llave de paso de bronce 0.019</v>
      </c>
      <c r="C31" s="4" t="str">
        <f>VLOOKUP(A31,'IN-06-10'!$A$5:$D$440,3)</f>
        <v>u</v>
      </c>
      <c r="D31" s="60">
        <v>6</v>
      </c>
      <c r="E31" s="4">
        <f>VLOOKUP(A31,'IN-06-10'!$A$5:$D$440,4)</f>
        <v>32.6364</v>
      </c>
      <c r="F31" s="79">
        <f t="shared" si="0"/>
        <v>195.8184</v>
      </c>
    </row>
    <row r="32" spans="1:6" ht="12.75">
      <c r="A32" s="3" t="s">
        <v>433</v>
      </c>
      <c r="B32" s="4" t="str">
        <f>VLOOKUP(A32,'IN-06-10'!$A$5:$D$440,2)</f>
        <v>Tanque de reserva 500 lts. FºCº</v>
      </c>
      <c r="C32" s="4" t="str">
        <f>VLOOKUP(A32,'IN-06-10'!$A$5:$D$440,3)</f>
        <v>u</v>
      </c>
      <c r="D32" s="60">
        <v>1</v>
      </c>
      <c r="E32" s="4">
        <f>VLOOKUP(A32,'IN-06-10'!$A$5:$D$440,4)</f>
        <v>0</v>
      </c>
      <c r="F32" s="79">
        <f t="shared" si="0"/>
        <v>0</v>
      </c>
    </row>
    <row r="33" spans="1:6" ht="12.75">
      <c r="A33" s="3" t="s">
        <v>440</v>
      </c>
      <c r="B33" s="4" t="str">
        <f>VLOOKUP(A33,'IN-06-10'!$A$5:$D$440,2)</f>
        <v>tee IPS 19 mm</v>
      </c>
      <c r="C33" s="4" t="str">
        <f>VLOOKUP(A33,'IN-06-10'!$A$5:$D$440,3)</f>
        <v>u</v>
      </c>
      <c r="D33" s="60">
        <v>30</v>
      </c>
      <c r="E33" s="4">
        <f>VLOOKUP(A33,'IN-06-10'!$A$5:$D$440,4)</f>
        <v>1.6942</v>
      </c>
      <c r="F33" s="79">
        <f t="shared" si="0"/>
        <v>50.826</v>
      </c>
    </row>
    <row r="34" spans="1:6" ht="12.75">
      <c r="A34" s="3" t="s">
        <v>441</v>
      </c>
      <c r="B34" s="4" t="str">
        <f>VLOOKUP(A34,'IN-06-10'!$A$5:$D$440,2)</f>
        <v>kit medidor agua aprob. ASSA</v>
      </c>
      <c r="C34" s="4" t="str">
        <f>VLOOKUP(A34,'IN-06-10'!$A$5:$D$440,3)</f>
        <v>u</v>
      </c>
      <c r="D34" s="60">
        <v>1.55</v>
      </c>
      <c r="E34" s="4">
        <f>VLOOKUP(A34,'IN-06-10'!$A$5:$D$440,4)</f>
        <v>127.2727</v>
      </c>
      <c r="F34" s="79">
        <f t="shared" si="0"/>
        <v>197.272685</v>
      </c>
    </row>
    <row r="35" spans="1:6" ht="12.75">
      <c r="A35" s="3" t="s">
        <v>442</v>
      </c>
      <c r="B35" s="4" t="str">
        <f>VLOOKUP(A35,'IN-06-10'!$A$5:$D$440,2)</f>
        <v>gabinete p/medidor agua aprobado ASSA</v>
      </c>
      <c r="C35" s="4" t="str">
        <f>VLOOKUP(A35,'IN-06-10'!$A$5:$D$440,3)</f>
        <v>u</v>
      </c>
      <c r="D35" s="60">
        <v>1</v>
      </c>
      <c r="E35" s="4">
        <f>VLOOKUP(A35,'IN-06-10'!$A$5:$D$440,4)</f>
        <v>60.849</v>
      </c>
      <c r="F35" s="79">
        <f t="shared" si="0"/>
        <v>60.849</v>
      </c>
    </row>
    <row r="36" spans="1:6" ht="12.75">
      <c r="A36" s="2" t="s">
        <v>863</v>
      </c>
      <c r="B36" s="4" t="str">
        <f>VLOOKUP(A36,'IN-06-10'!$A$5:$D$440,2)</f>
        <v>medidor de agua</v>
      </c>
      <c r="C36" s="4" t="str">
        <f>VLOOKUP(A36,'IN-06-10'!$A$5:$D$440,3)</f>
        <v>u</v>
      </c>
      <c r="D36" s="60">
        <v>1</v>
      </c>
      <c r="E36" s="4">
        <f>VLOOKUP(A36,'IN-06-10'!$A$5:$D$440,4)</f>
        <v>177.781</v>
      </c>
      <c r="F36" s="79">
        <f t="shared" si="0"/>
        <v>177.781</v>
      </c>
    </row>
    <row r="37" spans="1:6" ht="12.75">
      <c r="A37" s="94" t="s">
        <v>1074</v>
      </c>
      <c r="D37" s="60"/>
      <c r="E37" s="60"/>
      <c r="F37" s="79"/>
    </row>
    <row r="38" spans="1:6" ht="12.75">
      <c r="A38" s="3" t="s">
        <v>325</v>
      </c>
      <c r="B38" s="4" t="str">
        <f>VLOOKUP(A38,Insumos,2)</f>
        <v>cuadrilla tipo U.G.A.T.S.</v>
      </c>
      <c r="C38" s="6" t="str">
        <f>VLOOKUP(A38,Insumos,3)</f>
        <v>h</v>
      </c>
      <c r="D38" s="60">
        <f>32+12</f>
        <v>44</v>
      </c>
      <c r="E38" s="60">
        <f>VLOOKUP(A38,Insumos,4)</f>
        <v>25.29</v>
      </c>
      <c r="F38" s="79">
        <f>(D38*E38)</f>
        <v>1112.76</v>
      </c>
    </row>
    <row r="39" spans="1:6" ht="12.75">
      <c r="A39" s="94" t="s">
        <v>1075</v>
      </c>
      <c r="D39" s="60"/>
      <c r="E39" s="60"/>
      <c r="F39" s="79"/>
    </row>
    <row r="40" spans="1:6" ht="12.75">
      <c r="A40" s="3" t="s">
        <v>290</v>
      </c>
      <c r="B40" s="4" t="str">
        <f>VLOOKUP(A40,Insumos,2)</f>
        <v>canasta 1 (camión volcador)</v>
      </c>
      <c r="C40" s="6" t="str">
        <f>VLOOKUP(A40,Insumos,3)</f>
        <v>h</v>
      </c>
      <c r="D40" s="60">
        <v>0.3</v>
      </c>
      <c r="E40" s="60">
        <f>VLOOKUP(A40,Insumos,4)</f>
        <v>195.2</v>
      </c>
      <c r="F40" s="79">
        <f>(D40*E40)</f>
        <v>58.559999999999995</v>
      </c>
    </row>
    <row r="41" spans="1:6" ht="13.5" thickBot="1">
      <c r="A41" s="3"/>
      <c r="B41" s="4"/>
      <c r="C41" s="6"/>
      <c r="D41" s="60"/>
      <c r="E41" s="60"/>
      <c r="F41" s="79"/>
    </row>
    <row r="42" spans="1:7" ht="13.5" thickTop="1">
      <c r="A42" s="87" t="s">
        <v>1069</v>
      </c>
      <c r="B42" s="8" t="s">
        <v>379</v>
      </c>
      <c r="C42" s="89" t="str">
        <f>Fecha</f>
        <v>JUN/10</v>
      </c>
      <c r="D42" s="57"/>
      <c r="E42" s="57"/>
      <c r="F42" s="77">
        <f>SUM(F44:F54)</f>
        <v>8237.1712414</v>
      </c>
      <c r="G42" s="50"/>
    </row>
    <row r="43" spans="1:7" ht="13.5" thickBot="1">
      <c r="A43" s="7" t="s">
        <v>1068</v>
      </c>
      <c r="B43" s="7" t="s">
        <v>378</v>
      </c>
      <c r="C43" s="90" t="s">
        <v>1067</v>
      </c>
      <c r="D43" s="58" t="s">
        <v>1080</v>
      </c>
      <c r="E43" s="59"/>
      <c r="F43" s="78"/>
      <c r="G43" s="51" t="s">
        <v>1070</v>
      </c>
    </row>
    <row r="44" spans="1:6" ht="15.75" customHeight="1" thickTop="1">
      <c r="A44" s="94" t="s">
        <v>1073</v>
      </c>
      <c r="D44" s="60"/>
      <c r="E44" s="60"/>
      <c r="F44" s="79"/>
    </row>
    <row r="45" spans="1:6" ht="12.75">
      <c r="A45" s="3" t="s">
        <v>324</v>
      </c>
      <c r="B45" s="4" t="str">
        <f>VLOOKUP(A45,'IN-06-10'!$A$5:$D$440,2)</f>
        <v>llave de paso de bronce 0.019</v>
      </c>
      <c r="C45" s="4" t="str">
        <f>VLOOKUP(A45,'IN-06-10'!$A$5:$D$440,3)</f>
        <v>u</v>
      </c>
      <c r="D45" s="60">
        <v>18.493</v>
      </c>
      <c r="E45" s="4">
        <f>VLOOKUP(A45,'IN-06-10'!$A$5:$D$440,4)</f>
        <v>32.6364</v>
      </c>
      <c r="F45" s="79">
        <f aca="true" t="shared" si="1" ref="F45:F50">(D45*E45)</f>
        <v>603.5449452</v>
      </c>
    </row>
    <row r="46" spans="1:6" ht="12.75">
      <c r="A46" s="3" t="s">
        <v>322</v>
      </c>
      <c r="B46" s="4" t="str">
        <f>VLOOKUP(A46,'IN-06-10'!$A$5:$D$440,2)</f>
        <v>codo IPS 19 mm</v>
      </c>
      <c r="C46" s="4" t="str">
        <f>VLOOKUP(A46,'IN-06-10'!$A$5:$D$440,3)</f>
        <v>u</v>
      </c>
      <c r="D46" s="60">
        <v>191.596</v>
      </c>
      <c r="E46" s="4">
        <f>VLOOKUP(A46,'IN-06-10'!$A$5:$D$440,4)</f>
        <v>1.2562</v>
      </c>
      <c r="F46" s="79">
        <f t="shared" si="1"/>
        <v>240.6828952</v>
      </c>
    </row>
    <row r="47" spans="1:6" ht="12.75">
      <c r="A47" s="3" t="s">
        <v>323</v>
      </c>
      <c r="B47" s="4" t="str">
        <f>VLOOKUP(A47,'IN-06-10'!$A$5:$D$440,2)</f>
        <v>caño H-3 tricapa 19 mm</v>
      </c>
      <c r="C47" s="4" t="str">
        <f>VLOOKUP(A47,'IN-06-10'!$A$5:$D$440,3)</f>
        <v>m</v>
      </c>
      <c r="D47" s="60">
        <v>276.287</v>
      </c>
      <c r="E47" s="4">
        <f>VLOOKUP(A47,'IN-06-10'!$A$5:$D$440,4)</f>
        <v>8.5524</v>
      </c>
      <c r="F47" s="79">
        <f t="shared" si="1"/>
        <v>2362.9169388</v>
      </c>
    </row>
    <row r="48" spans="1:6" ht="12.75">
      <c r="A48" s="3" t="s">
        <v>444</v>
      </c>
      <c r="B48" s="4" t="str">
        <f>VLOOKUP(A48,'IN-06-10'!$A$5:$D$440,2)</f>
        <v>válvula exclusa bronce 25 mm</v>
      </c>
      <c r="C48" s="4" t="str">
        <f>VLOOKUP(A48,'IN-06-10'!$A$5:$D$440,3)</f>
        <v>u</v>
      </c>
      <c r="D48" s="60">
        <v>24.968</v>
      </c>
      <c r="E48" s="4">
        <f>VLOOKUP(A48,'IN-06-10'!$A$5:$D$440,4)</f>
        <v>29.3678</v>
      </c>
      <c r="F48" s="79">
        <f t="shared" si="1"/>
        <v>733.2552304</v>
      </c>
    </row>
    <row r="49" spans="1:6" ht="12.75">
      <c r="A49" s="3" t="s">
        <v>443</v>
      </c>
      <c r="B49" s="4" t="str">
        <f>VLOOKUP(A49,'IN-06-10'!$A$5:$D$440,2)</f>
        <v>caño H-3 tricapa 25 mm</v>
      </c>
      <c r="C49" s="4" t="str">
        <f>VLOOKUP(A49,'IN-06-10'!$A$5:$D$440,3)</f>
        <v>m</v>
      </c>
      <c r="D49" s="60">
        <v>20.826</v>
      </c>
      <c r="E49" s="4">
        <f>VLOOKUP(A49,'IN-06-10'!$A$5:$D$440,4)</f>
        <v>12.5524</v>
      </c>
      <c r="F49" s="79">
        <f t="shared" si="1"/>
        <v>261.4162824</v>
      </c>
    </row>
    <row r="50" spans="1:6" ht="12.75">
      <c r="A50" s="3" t="s">
        <v>440</v>
      </c>
      <c r="B50" s="4" t="str">
        <f>VLOOKUP(A50,'IN-06-10'!$A$5:$D$440,2)</f>
        <v>tee IPS 19 mm</v>
      </c>
      <c r="C50" s="4" t="str">
        <f>VLOOKUP(A50,'IN-06-10'!$A$5:$D$440,3)</f>
        <v>u</v>
      </c>
      <c r="D50" s="60">
        <v>130.507</v>
      </c>
      <c r="E50" s="4">
        <f>VLOOKUP(A50,'IN-06-10'!$A$5:$D$440,4)</f>
        <v>1.6942</v>
      </c>
      <c r="F50" s="79">
        <f t="shared" si="1"/>
        <v>221.1049594</v>
      </c>
    </row>
    <row r="51" spans="1:6" ht="12.75">
      <c r="A51" s="94" t="s">
        <v>1074</v>
      </c>
      <c r="D51" s="60"/>
      <c r="E51" s="60"/>
      <c r="F51" s="79"/>
    </row>
    <row r="52" spans="1:6" ht="12.75">
      <c r="A52" s="3" t="s">
        <v>325</v>
      </c>
      <c r="B52" s="4" t="str">
        <f>VLOOKUP(A52,Insumos,2)</f>
        <v>cuadrilla tipo U.G.A.T.S.</v>
      </c>
      <c r="C52" s="6" t="str">
        <f>VLOOKUP(A52,Insumos,3)</f>
        <v>h</v>
      </c>
      <c r="D52" s="60">
        <v>144.391</v>
      </c>
      <c r="E52" s="60">
        <f>VLOOKUP(A52,Insumos,4)</f>
        <v>25.29</v>
      </c>
      <c r="F52" s="79">
        <f>(D52*E52)</f>
        <v>3651.64839</v>
      </c>
    </row>
    <row r="53" spans="1:6" ht="12.75">
      <c r="A53" s="94" t="s">
        <v>1075</v>
      </c>
      <c r="D53" s="60"/>
      <c r="E53" s="60"/>
      <c r="F53" s="79"/>
    </row>
    <row r="54" spans="1:6" ht="12.75">
      <c r="A54" s="3" t="s">
        <v>290</v>
      </c>
      <c r="B54" s="4" t="str">
        <f>VLOOKUP(A54,Insumos,2)</f>
        <v>canasta 1 (camión volcador)</v>
      </c>
      <c r="C54" s="6" t="str">
        <f>VLOOKUP(A54,Insumos,3)</f>
        <v>h</v>
      </c>
      <c r="D54" s="60">
        <v>0.833</v>
      </c>
      <c r="E54" s="60">
        <f>VLOOKUP(A54,Insumos,4)</f>
        <v>195.2</v>
      </c>
      <c r="F54" s="79">
        <f>(D54*E54)</f>
        <v>162.6016</v>
      </c>
    </row>
    <row r="55" ht="13.5" thickBot="1"/>
    <row r="56" spans="1:7" ht="13.5" thickTop="1">
      <c r="A56" s="87" t="s">
        <v>1069</v>
      </c>
      <c r="B56" s="8" t="s">
        <v>508</v>
      </c>
      <c r="C56" s="89" t="str">
        <f>Fecha</f>
        <v>JUN/10</v>
      </c>
      <c r="D56" s="57"/>
      <c r="E56" s="57"/>
      <c r="F56" s="77">
        <f>SUM(F58:F64)</f>
        <v>2476.055436</v>
      </c>
      <c r="G56" s="50"/>
    </row>
    <row r="57" spans="1:7" ht="13.5" thickBot="1">
      <c r="A57" s="7" t="s">
        <v>1068</v>
      </c>
      <c r="B57" s="7" t="s">
        <v>380</v>
      </c>
      <c r="C57" s="90" t="s">
        <v>1067</v>
      </c>
      <c r="D57" s="58" t="s">
        <v>566</v>
      </c>
      <c r="E57" s="59"/>
      <c r="F57" s="78"/>
      <c r="G57" s="51" t="s">
        <v>1070</v>
      </c>
    </row>
    <row r="58" spans="1:6" ht="13.5" thickTop="1">
      <c r="A58" s="94" t="s">
        <v>1073</v>
      </c>
      <c r="D58" s="60"/>
      <c r="E58" s="60"/>
      <c r="F58" s="79"/>
    </row>
    <row r="59" spans="1:6" ht="12.75">
      <c r="A59" s="3" t="s">
        <v>326</v>
      </c>
      <c r="B59" s="4" t="str">
        <f>VLOOKUP(A59,'IN-06-10'!$A$5:$D$440,2)</f>
        <v>juego llave y flor p/ducha cromada</v>
      </c>
      <c r="C59" s="4" t="str">
        <f>VLOOKUP(A59,'IN-06-10'!$A$5:$D$440,3)</f>
        <v>u</v>
      </c>
      <c r="D59" s="60">
        <v>4.65</v>
      </c>
      <c r="E59" s="4">
        <f>VLOOKUP(A59,'IN-06-10'!$A$5:$D$440,4)</f>
        <v>294.54</v>
      </c>
      <c r="F59" s="79">
        <f>(D59*E59)</f>
        <v>1369.611</v>
      </c>
    </row>
    <row r="60" spans="1:6" ht="12.75">
      <c r="A60" s="3" t="s">
        <v>327</v>
      </c>
      <c r="B60" s="4" t="str">
        <f>VLOOKUP(A60,'IN-06-10'!$A$5:$D$440,2)</f>
        <v>inodoro sifónico losa</v>
      </c>
      <c r="C60" s="4" t="str">
        <f>VLOOKUP(A60,'IN-06-10'!$A$5:$D$440,3)</f>
        <v>u</v>
      </c>
      <c r="D60" s="60">
        <v>5.51</v>
      </c>
      <c r="E60" s="4">
        <f>VLOOKUP(A60,'IN-06-10'!$A$5:$D$440,4)</f>
        <v>129.4636</v>
      </c>
      <c r="F60" s="79">
        <f>(D60*E60)</f>
        <v>713.3444360000001</v>
      </c>
    </row>
    <row r="61" spans="1:6" ht="12.75">
      <c r="A61" s="94" t="s">
        <v>1074</v>
      </c>
      <c r="D61" s="60"/>
      <c r="E61" s="60"/>
      <c r="F61" s="79"/>
    </row>
    <row r="62" spans="1:6" ht="12.75">
      <c r="A62" s="3" t="s">
        <v>325</v>
      </c>
      <c r="B62" s="4" t="str">
        <f>VLOOKUP(A62,Insumos,2)</f>
        <v>cuadrilla tipo U.G.A.T.S.</v>
      </c>
      <c r="C62" s="6" t="str">
        <f>VLOOKUP(A62,Insumos,3)</f>
        <v>h</v>
      </c>
      <c r="D62" s="60">
        <v>14</v>
      </c>
      <c r="E62" s="60">
        <f>VLOOKUP(A62,Insumos,4)</f>
        <v>25.29</v>
      </c>
      <c r="F62" s="79">
        <f>(D62*E62)</f>
        <v>354.06</v>
      </c>
    </row>
    <row r="63" spans="1:6" ht="12.75">
      <c r="A63" s="94" t="s">
        <v>1075</v>
      </c>
      <c r="D63" s="60"/>
      <c r="E63" s="60"/>
      <c r="F63" s="79"/>
    </row>
    <row r="64" spans="1:6" ht="12.75">
      <c r="A64" s="3" t="s">
        <v>290</v>
      </c>
      <c r="B64" s="4" t="str">
        <f>VLOOKUP(A64,Insumos,2)</f>
        <v>canasta 1 (camión volcador)</v>
      </c>
      <c r="C64" s="6" t="str">
        <f>VLOOKUP(A64,Insumos,3)</f>
        <v>h</v>
      </c>
      <c r="D64" s="60">
        <v>0.2</v>
      </c>
      <c r="E64" s="60">
        <f>VLOOKUP(A64,Insumos,4)</f>
        <v>195.2</v>
      </c>
      <c r="F64" s="79">
        <f>(D64*E64)</f>
        <v>39.04</v>
      </c>
    </row>
    <row r="65" spans="1:6" ht="13.5" thickBot="1">
      <c r="A65" s="3"/>
      <c r="B65" s="4"/>
      <c r="C65" s="6"/>
      <c r="D65" s="60"/>
      <c r="E65" s="60"/>
      <c r="F65" s="79"/>
    </row>
    <row r="66" spans="1:7" ht="13.5" thickTop="1">
      <c r="A66" s="87" t="s">
        <v>1069</v>
      </c>
      <c r="B66" s="8" t="s">
        <v>1082</v>
      </c>
      <c r="C66" s="89" t="str">
        <f>Fecha</f>
        <v>JUN/10</v>
      </c>
      <c r="D66" s="57"/>
      <c r="E66" s="57"/>
      <c r="F66" s="77">
        <f>SUM(F68:F74)</f>
        <v>16632.54662</v>
      </c>
      <c r="G66" s="50"/>
    </row>
    <row r="67" spans="1:7" ht="13.5" thickBot="1">
      <c r="A67" s="7" t="s">
        <v>1068</v>
      </c>
      <c r="B67" s="7" t="s">
        <v>380</v>
      </c>
      <c r="C67" s="90" t="s">
        <v>1067</v>
      </c>
      <c r="D67" s="58" t="s">
        <v>1081</v>
      </c>
      <c r="E67" s="59"/>
      <c r="F67" s="78"/>
      <c r="G67" s="51" t="s">
        <v>1070</v>
      </c>
    </row>
    <row r="68" spans="1:6" ht="13.5" thickTop="1">
      <c r="A68" s="94" t="s">
        <v>1073</v>
      </c>
      <c r="D68" s="60"/>
      <c r="E68" s="60"/>
      <c r="F68" s="79"/>
    </row>
    <row r="69" spans="1:6" ht="12.75">
      <c r="A69" s="3" t="s">
        <v>326</v>
      </c>
      <c r="B69" s="4" t="str">
        <f>VLOOKUP(A69,'IN-06-10'!$A$5:$D$440,2)</f>
        <v>juego llave y flor p/ducha cromada</v>
      </c>
      <c r="C69" s="4" t="str">
        <f>VLOOKUP(A69,'IN-06-10'!$A$5:$D$440,3)</f>
        <v>u</v>
      </c>
      <c r="D69" s="60">
        <v>34.798</v>
      </c>
      <c r="E69" s="4">
        <f>VLOOKUP(A69,'IN-06-10'!$A$5:$D$440,4)</f>
        <v>294.54</v>
      </c>
      <c r="F69" s="79">
        <f>(D69*E69)</f>
        <v>10249.40292</v>
      </c>
    </row>
    <row r="70" spans="1:6" ht="12.75">
      <c r="A70" s="3" t="s">
        <v>327</v>
      </c>
      <c r="B70" s="4" t="str">
        <f>VLOOKUP(A70,'IN-06-10'!$A$5:$D$440,2)</f>
        <v>inodoro sifónico losa</v>
      </c>
      <c r="C70" s="4" t="str">
        <f>VLOOKUP(A70,'IN-06-10'!$A$5:$D$440,3)</f>
        <v>u</v>
      </c>
      <c r="D70" s="60">
        <v>32.95</v>
      </c>
      <c r="E70" s="4">
        <f>VLOOKUP(A70,'IN-06-10'!$A$5:$D$440,4)</f>
        <v>129.4636</v>
      </c>
      <c r="F70" s="79">
        <f>(D70*E70)</f>
        <v>4265.8256200000005</v>
      </c>
    </row>
    <row r="71" spans="1:6" ht="12.75">
      <c r="A71" s="94" t="s">
        <v>1074</v>
      </c>
      <c r="D71" s="60"/>
      <c r="E71" s="60"/>
      <c r="F71" s="79"/>
    </row>
    <row r="72" spans="1:6" ht="12.75">
      <c r="A72" s="3" t="s">
        <v>325</v>
      </c>
      <c r="B72" s="4" t="str">
        <f>VLOOKUP(A72,Insumos,2)</f>
        <v>cuadrilla tipo U.G.A.T.S.</v>
      </c>
      <c r="C72" s="6" t="str">
        <f>VLOOKUP(A72,Insumos,3)</f>
        <v>h</v>
      </c>
      <c r="D72" s="60">
        <v>68.192</v>
      </c>
      <c r="E72" s="60">
        <f>VLOOKUP(A72,Insumos,4)</f>
        <v>25.29</v>
      </c>
      <c r="F72" s="79">
        <f>(D72*E72)</f>
        <v>1724.5756799999997</v>
      </c>
    </row>
    <row r="73" spans="1:6" ht="12.75">
      <c r="A73" s="94" t="s">
        <v>1075</v>
      </c>
      <c r="D73" s="60"/>
      <c r="E73" s="60"/>
      <c r="F73" s="79"/>
    </row>
    <row r="74" spans="1:6" ht="12.75">
      <c r="A74" s="3" t="s">
        <v>290</v>
      </c>
      <c r="B74" s="4" t="str">
        <f>VLOOKUP(A74,Insumos,2)</f>
        <v>canasta 1 (camión volcador)</v>
      </c>
      <c r="C74" s="6" t="str">
        <f>VLOOKUP(A74,Insumos,3)</f>
        <v>h</v>
      </c>
      <c r="D74" s="60">
        <v>2.012</v>
      </c>
      <c r="E74" s="60">
        <f>VLOOKUP(A74,Insumos,4)</f>
        <v>195.2</v>
      </c>
      <c r="F74" s="79">
        <f>(D74*E74)</f>
        <v>392.7424</v>
      </c>
    </row>
    <row r="75" spans="1:6" ht="13.5" thickBot="1">
      <c r="A75" s="3"/>
      <c r="B75" s="4"/>
      <c r="C75" s="6"/>
      <c r="D75" s="60"/>
      <c r="E75" s="60"/>
      <c r="F75" s="79"/>
    </row>
    <row r="76" spans="1:7" ht="13.5" thickTop="1">
      <c r="A76" s="87" t="s">
        <v>1069</v>
      </c>
      <c r="B76" s="8" t="s">
        <v>552</v>
      </c>
      <c r="C76" s="89" t="str">
        <f>Fecha</f>
        <v>JUN/10</v>
      </c>
      <c r="D76" s="57"/>
      <c r="E76" s="57"/>
      <c r="F76" s="77">
        <f>SUM(F78:F86)</f>
        <v>2785.6417689</v>
      </c>
      <c r="G76" s="50"/>
    </row>
    <row r="77" spans="1:7" ht="13.5" thickBot="1">
      <c r="A77" s="7" t="s">
        <v>1068</v>
      </c>
      <c r="B77" s="7" t="s">
        <v>381</v>
      </c>
      <c r="C77" s="90" t="s">
        <v>1067</v>
      </c>
      <c r="D77" s="58" t="s">
        <v>571</v>
      </c>
      <c r="E77" s="59"/>
      <c r="F77" s="78"/>
      <c r="G77" s="51" t="s">
        <v>1070</v>
      </c>
    </row>
    <row r="78" spans="1:6" ht="13.5" thickTop="1">
      <c r="A78" s="94" t="s">
        <v>1073</v>
      </c>
      <c r="D78" s="60"/>
      <c r="E78" s="60"/>
      <c r="F78" s="79"/>
    </row>
    <row r="79" spans="1:6" ht="12.75">
      <c r="A79" s="3" t="s">
        <v>330</v>
      </c>
      <c r="B79" s="4" t="str">
        <f>VLOOKUP(A79,'IN-06-10'!$A$5:$D$440,2)</f>
        <v>caño PVC 3.2 p/desague cloacal 0.110 x 4 m.</v>
      </c>
      <c r="C79" s="4" t="str">
        <f>VLOOKUP(A79,'IN-06-10'!$A$5:$D$440,3)</f>
        <v>m</v>
      </c>
      <c r="D79" s="60">
        <v>41.378</v>
      </c>
      <c r="E79" s="4">
        <f>VLOOKUP(A79,'IN-06-10'!$A$5:$D$440,4)</f>
        <v>26.0432</v>
      </c>
      <c r="F79" s="79">
        <f>(D79*E79)</f>
        <v>1077.6155296</v>
      </c>
    </row>
    <row r="80" spans="1:6" ht="12.75">
      <c r="A80" s="3" t="s">
        <v>553</v>
      </c>
      <c r="B80" s="4" t="str">
        <f>VLOOKUP(A80,'IN-06-10'!$A$5:$D$440,2)</f>
        <v>caño PVC 3.2 p/desague cloacal 0.060 x 4 m.</v>
      </c>
      <c r="C80" s="4" t="str">
        <f>VLOOKUP(A80,'IN-06-10'!$A$5:$D$440,3)</f>
        <v>m</v>
      </c>
      <c r="D80" s="60">
        <v>9.558</v>
      </c>
      <c r="E80" s="4">
        <f>VLOOKUP(A80,'IN-06-10'!$A$5:$D$440,4)</f>
        <v>22.1857</v>
      </c>
      <c r="F80" s="79">
        <f>(D80*E80)</f>
        <v>212.0509206</v>
      </c>
    </row>
    <row r="81" spans="1:6" ht="12.75">
      <c r="A81" s="3" t="s">
        <v>554</v>
      </c>
      <c r="B81" s="4" t="str">
        <f>VLOOKUP(A81,'IN-06-10'!$A$5:$D$440,2)</f>
        <v>ramal Y PVC 0.110x0.63</v>
      </c>
      <c r="C81" s="4" t="str">
        <f>VLOOKUP(A81,'IN-06-10'!$A$5:$D$440,3)</f>
        <v>u</v>
      </c>
      <c r="D81" s="60">
        <v>19.931</v>
      </c>
      <c r="E81" s="4">
        <f>VLOOKUP(A81,'IN-06-10'!$A$5:$D$440,4)</f>
        <v>20.6691</v>
      </c>
      <c r="F81" s="79">
        <f>(D81*E81)</f>
        <v>411.9558321</v>
      </c>
    </row>
    <row r="82" spans="1:6" ht="12.75">
      <c r="A82" s="3" t="s">
        <v>292</v>
      </c>
      <c r="B82" s="4" t="str">
        <f>VLOOKUP(A82,Insumos,2)</f>
        <v>cemento Portland</v>
      </c>
      <c r="C82" s="6" t="str">
        <f>VLOOKUP(A82,Insumos,3)</f>
        <v>kg</v>
      </c>
      <c r="D82" s="60">
        <v>90.118</v>
      </c>
      <c r="E82" s="4">
        <f>VLOOKUP(A82,'IN-06-10'!$A$5:$D$440,4)</f>
        <v>0.4787</v>
      </c>
      <c r="F82" s="79">
        <f>(D82*E82)</f>
        <v>43.1394866</v>
      </c>
    </row>
    <row r="83" spans="1:6" ht="12.75">
      <c r="A83" s="94" t="s">
        <v>1074</v>
      </c>
      <c r="D83" s="60"/>
      <c r="E83" s="60"/>
      <c r="F83" s="79"/>
    </row>
    <row r="84" spans="1:6" ht="12.75">
      <c r="A84" s="3" t="s">
        <v>325</v>
      </c>
      <c r="B84" s="4" t="str">
        <f>VLOOKUP(A84,Insumos,2)</f>
        <v>cuadrilla tipo U.G.A.T.S.</v>
      </c>
      <c r="C84" s="6" t="str">
        <f>VLOOKUP(A84,Insumos,3)</f>
        <v>h</v>
      </c>
      <c r="D84" s="60">
        <v>40</v>
      </c>
      <c r="E84" s="60">
        <f>VLOOKUP(A84,Insumos,4)</f>
        <v>25.29</v>
      </c>
      <c r="F84" s="79">
        <f>(D84*E84)</f>
        <v>1011.5999999999999</v>
      </c>
    </row>
    <row r="85" spans="1:6" ht="12.75">
      <c r="A85" s="94" t="s">
        <v>1075</v>
      </c>
      <c r="D85" s="60"/>
      <c r="E85" s="60"/>
      <c r="F85" s="79"/>
    </row>
    <row r="86" spans="1:6" ht="12.75">
      <c r="A86" s="3" t="s">
        <v>290</v>
      </c>
      <c r="B86" s="4" t="str">
        <f>VLOOKUP(A86,Insumos,2)</f>
        <v>canasta 1 (camión volcador)</v>
      </c>
      <c r="C86" s="6" t="str">
        <f>VLOOKUP(A86,Insumos,3)</f>
        <v>h</v>
      </c>
      <c r="D86" s="60">
        <v>0.15</v>
      </c>
      <c r="E86" s="60">
        <f>VLOOKUP(A86,Insumos,4)</f>
        <v>195.2</v>
      </c>
      <c r="F86" s="79">
        <f>(D86*E86)</f>
        <v>29.279999999999998</v>
      </c>
    </row>
    <row r="87" spans="1:6" ht="13.5" thickBot="1">
      <c r="A87" s="3"/>
      <c r="B87" s="4"/>
      <c r="C87" s="6"/>
      <c r="D87" s="60"/>
      <c r="E87" s="60"/>
      <c r="F87" s="79"/>
    </row>
    <row r="88" spans="1:7" ht="13.5" thickTop="1">
      <c r="A88" s="87" t="s">
        <v>1069</v>
      </c>
      <c r="B88" s="8" t="s">
        <v>546</v>
      </c>
      <c r="C88" s="89" t="str">
        <f>Fecha</f>
        <v>JUN/10</v>
      </c>
      <c r="D88" s="57"/>
      <c r="E88" s="57"/>
      <c r="F88" s="77">
        <f>SUM(F90:F98)</f>
        <v>3525.1609721</v>
      </c>
      <c r="G88" s="50"/>
    </row>
    <row r="89" spans="1:7" ht="13.5" thickBot="1">
      <c r="A89" s="7" t="s">
        <v>1068</v>
      </c>
      <c r="B89" s="7" t="s">
        <v>381</v>
      </c>
      <c r="C89" s="90" t="s">
        <v>1067</v>
      </c>
      <c r="D89" s="58" t="s">
        <v>572</v>
      </c>
      <c r="E89" s="59"/>
      <c r="F89" s="78"/>
      <c r="G89" s="51" t="s">
        <v>1070</v>
      </c>
    </row>
    <row r="90" spans="1:6" ht="13.5" thickTop="1">
      <c r="A90" s="94" t="s">
        <v>1073</v>
      </c>
      <c r="D90" s="60"/>
      <c r="E90" s="60"/>
      <c r="F90" s="79"/>
    </row>
    <row r="91" spans="1:6" ht="12.75">
      <c r="A91" s="3" t="s">
        <v>330</v>
      </c>
      <c r="B91" s="4" t="str">
        <f>VLOOKUP(A91,'IN-06-10'!$A$5:$D$440,2)</f>
        <v>caño PVC 3.2 p/desague cloacal 0.110 x 4 m.</v>
      </c>
      <c r="C91" s="4" t="str">
        <f>VLOOKUP(A91,'IN-06-10'!$A$5:$D$440,3)</f>
        <v>m</v>
      </c>
      <c r="D91" s="60">
        <v>55.804</v>
      </c>
      <c r="E91" s="4">
        <f>VLOOKUP(A91,'IN-06-10'!$A$5:$D$440,4)</f>
        <v>26.0432</v>
      </c>
      <c r="F91" s="79">
        <f>(D91*E91)</f>
        <v>1453.3147328</v>
      </c>
    </row>
    <row r="92" spans="1:6" ht="12.75">
      <c r="A92" s="3" t="s">
        <v>553</v>
      </c>
      <c r="B92" s="4" t="str">
        <f>VLOOKUP(A92,'IN-06-10'!$A$5:$D$440,2)</f>
        <v>caño PVC 3.2 p/desague cloacal 0.060 x 4 m.</v>
      </c>
      <c r="C92" s="4" t="str">
        <f>VLOOKUP(A92,'IN-06-10'!$A$5:$D$440,3)</f>
        <v>m</v>
      </c>
      <c r="D92" s="60">
        <v>9.558</v>
      </c>
      <c r="E92" s="4">
        <f>VLOOKUP(A92,'IN-06-10'!$A$5:$D$440,4)</f>
        <v>22.1857</v>
      </c>
      <c r="F92" s="79">
        <f>(D92*E92)</f>
        <v>212.0509206</v>
      </c>
    </row>
    <row r="93" spans="1:6" ht="12.75">
      <c r="A93" s="3" t="s">
        <v>554</v>
      </c>
      <c r="B93" s="4" t="str">
        <f>VLOOKUP(A93,'IN-06-10'!$A$5:$D$440,2)</f>
        <v>ramal Y PVC 0.110x0.63</v>
      </c>
      <c r="C93" s="4" t="str">
        <f>VLOOKUP(A93,'IN-06-10'!$A$5:$D$440,3)</f>
        <v>u</v>
      </c>
      <c r="D93" s="60">
        <v>19.931</v>
      </c>
      <c r="E93" s="4">
        <f>VLOOKUP(A93,'IN-06-10'!$A$5:$D$440,4)</f>
        <v>20.6691</v>
      </c>
      <c r="F93" s="79">
        <f>(D93*E93)</f>
        <v>411.9558321</v>
      </c>
    </row>
    <row r="94" spans="1:6" ht="12.75">
      <c r="A94" s="3" t="s">
        <v>292</v>
      </c>
      <c r="B94" s="4" t="str">
        <f>VLOOKUP(A94,Insumos,2)</f>
        <v>cemento Portland</v>
      </c>
      <c r="C94" s="6" t="str">
        <f>VLOOKUP(A94,Insumos,3)</f>
        <v>kg</v>
      </c>
      <c r="D94" s="60">
        <v>90.118</v>
      </c>
      <c r="E94" s="4">
        <f>VLOOKUP(A94,'IN-06-10'!$A$5:$D$440,4)</f>
        <v>0.4787</v>
      </c>
      <c r="F94" s="79">
        <f>(D94*E94)</f>
        <v>43.1394866</v>
      </c>
    </row>
    <row r="95" spans="1:6" ht="12.75">
      <c r="A95" s="94" t="s">
        <v>1074</v>
      </c>
      <c r="C95" s="6"/>
      <c r="D95" s="60"/>
      <c r="E95" s="60"/>
      <c r="F95" s="79"/>
    </row>
    <row r="96" spans="1:6" ht="12.75">
      <c r="A96" s="3" t="s">
        <v>325</v>
      </c>
      <c r="B96" s="4" t="str">
        <f>VLOOKUP(A96,Insumos,2)</f>
        <v>cuadrilla tipo U.G.A.T.S.</v>
      </c>
      <c r="C96" s="6" t="str">
        <f>VLOOKUP(A96,Insumos,3)</f>
        <v>h</v>
      </c>
      <c r="D96" s="60">
        <v>54</v>
      </c>
      <c r="E96" s="60">
        <f>VLOOKUP(A96,Insumos,4)</f>
        <v>25.29</v>
      </c>
      <c r="F96" s="79">
        <f>(D96*E96)</f>
        <v>1365.6599999999999</v>
      </c>
    </row>
    <row r="97" spans="1:6" ht="12.75">
      <c r="A97" s="94" t="s">
        <v>1075</v>
      </c>
      <c r="D97" s="60"/>
      <c r="E97" s="60"/>
      <c r="F97" s="79"/>
    </row>
    <row r="98" spans="1:6" ht="12.75">
      <c r="A98" s="3" t="s">
        <v>290</v>
      </c>
      <c r="B98" s="4" t="str">
        <f>VLOOKUP(A98,Insumos,2)</f>
        <v>canasta 1 (camión volcador)</v>
      </c>
      <c r="C98" s="6" t="str">
        <f>VLOOKUP(A98,Insumos,3)</f>
        <v>h</v>
      </c>
      <c r="D98" s="60">
        <v>0.2</v>
      </c>
      <c r="E98" s="60">
        <f>VLOOKUP(A98,Insumos,4)</f>
        <v>195.2</v>
      </c>
      <c r="F98" s="79">
        <f>(D98*E98)</f>
        <v>39.04</v>
      </c>
    </row>
    <row r="99" ht="13.5" thickBot="1"/>
    <row r="100" spans="1:7" ht="13.5" thickTop="1">
      <c r="A100" s="87" t="s">
        <v>1069</v>
      </c>
      <c r="B100" s="8" t="s">
        <v>885</v>
      </c>
      <c r="C100" s="89" t="str">
        <f>Fecha</f>
        <v>JUN/10</v>
      </c>
      <c r="D100" s="57"/>
      <c r="E100" s="57"/>
      <c r="F100" s="77">
        <f>SUM(F102:F107)</f>
        <v>739.5192032</v>
      </c>
      <c r="G100" s="50"/>
    </row>
    <row r="101" spans="1:7" ht="13.5" thickBot="1">
      <c r="A101" s="7" t="s">
        <v>1068</v>
      </c>
      <c r="B101" s="7" t="s">
        <v>381</v>
      </c>
      <c r="C101" s="90" t="s">
        <v>1067</v>
      </c>
      <c r="D101" s="58" t="s">
        <v>714</v>
      </c>
      <c r="E101" s="59"/>
      <c r="F101" s="78"/>
      <c r="G101" s="51" t="s">
        <v>1070</v>
      </c>
    </row>
    <row r="102" spans="1:6" ht="13.5" thickTop="1">
      <c r="A102" s="94" t="s">
        <v>1073</v>
      </c>
      <c r="D102" s="60"/>
      <c r="E102" s="60"/>
      <c r="F102" s="79"/>
    </row>
    <row r="103" spans="1:6" ht="12.75">
      <c r="A103" s="3" t="s">
        <v>330</v>
      </c>
      <c r="B103" s="4" t="str">
        <f>VLOOKUP(A103,'IN-06-10'!$A$5:$D$440,2)</f>
        <v>caño PVC 3.2 p/desague cloacal 0.110 x 4 m.</v>
      </c>
      <c r="C103" s="4" t="str">
        <f>VLOOKUP(A103,'IN-06-10'!$A$5:$D$440,3)</f>
        <v>m</v>
      </c>
      <c r="D103" s="60">
        <v>14.426</v>
      </c>
      <c r="E103" s="4">
        <f>VLOOKUP(A103,'IN-06-10'!$A$5:$D$440,4)</f>
        <v>26.0432</v>
      </c>
      <c r="F103" s="79">
        <f>(D103*E103)</f>
        <v>375.6992032</v>
      </c>
    </row>
    <row r="104" spans="1:6" ht="12.75">
      <c r="A104" s="94" t="s">
        <v>1074</v>
      </c>
      <c r="D104" s="60"/>
      <c r="E104" s="60"/>
      <c r="F104" s="79"/>
    </row>
    <row r="105" spans="1:6" ht="12.75">
      <c r="A105" s="3" t="s">
        <v>325</v>
      </c>
      <c r="B105" s="4" t="str">
        <f>VLOOKUP(A105,Insumos,2)</f>
        <v>cuadrilla tipo U.G.A.T.S.</v>
      </c>
      <c r="C105" s="6" t="str">
        <f>VLOOKUP(A105,Insumos,3)</f>
        <v>h</v>
      </c>
      <c r="D105" s="60">
        <v>14</v>
      </c>
      <c r="E105" s="60">
        <f>VLOOKUP(A105,Insumos,4)</f>
        <v>25.29</v>
      </c>
      <c r="F105" s="79">
        <f>(D105*E105)</f>
        <v>354.06</v>
      </c>
    </row>
    <row r="106" spans="1:6" ht="12.75">
      <c r="A106" s="94" t="s">
        <v>1075</v>
      </c>
      <c r="D106" s="60"/>
      <c r="E106" s="60"/>
      <c r="F106" s="79"/>
    </row>
    <row r="107" spans="1:6" ht="12.75">
      <c r="A107" s="3" t="s">
        <v>290</v>
      </c>
      <c r="B107" s="4" t="str">
        <f>VLOOKUP(A107,Insumos,2)</f>
        <v>canasta 1 (camión volcador)</v>
      </c>
      <c r="C107" s="6" t="str">
        <f>VLOOKUP(A107,Insumos,3)</f>
        <v>h</v>
      </c>
      <c r="D107" s="60">
        <v>0.05</v>
      </c>
      <c r="E107" s="60">
        <f>VLOOKUP(A107,Insumos,4)</f>
        <v>195.2</v>
      </c>
      <c r="F107" s="79">
        <f>(D107*E107)</f>
        <v>9.76</v>
      </c>
    </row>
    <row r="108" ht="13.5" thickBot="1"/>
    <row r="109" spans="1:7" ht="13.5" thickTop="1">
      <c r="A109" s="87" t="s">
        <v>1069</v>
      </c>
      <c r="B109" s="8" t="s">
        <v>1052</v>
      </c>
      <c r="C109" s="89" t="str">
        <f>Fecha</f>
        <v>JUN/10</v>
      </c>
      <c r="D109" s="57"/>
      <c r="E109" s="57"/>
      <c r="F109" s="77">
        <f>SUM(F111:F119)</f>
        <v>4162.20232</v>
      </c>
      <c r="G109" s="50"/>
    </row>
    <row r="110" spans="1:7" ht="13.5" thickBot="1">
      <c r="A110" s="7" t="s">
        <v>1068</v>
      </c>
      <c r="B110" s="7" t="s">
        <v>381</v>
      </c>
      <c r="C110" s="90" t="s">
        <v>1067</v>
      </c>
      <c r="D110" s="58" t="s">
        <v>1053</v>
      </c>
      <c r="E110" s="59"/>
      <c r="F110" s="78"/>
      <c r="G110" s="51" t="s">
        <v>1070</v>
      </c>
    </row>
    <row r="111" spans="1:6" ht="13.5" thickTop="1">
      <c r="A111" s="94" t="s">
        <v>1073</v>
      </c>
      <c r="D111" s="60"/>
      <c r="E111" s="60"/>
      <c r="F111" s="79"/>
    </row>
    <row r="112" spans="1:6" ht="12.75">
      <c r="A112" s="3" t="s">
        <v>330</v>
      </c>
      <c r="B112" s="4" t="str">
        <f>VLOOKUP(A112,'IN-06-10'!$A$5:$D$440,2)</f>
        <v>caño PVC 3.2 p/desague cloacal 0.110 x 4 m.</v>
      </c>
      <c r="C112" s="4" t="str">
        <f>VLOOKUP(A112,'IN-06-10'!$A$5:$D$440,3)</f>
        <v>m</v>
      </c>
      <c r="D112" s="60">
        <v>11.35</v>
      </c>
      <c r="E112" s="4">
        <f>VLOOKUP(A112,'IN-06-10'!$A$5:$D$440,4)</f>
        <v>26.0432</v>
      </c>
      <c r="F112" s="79">
        <f>(D112*E112)</f>
        <v>295.59031999999996</v>
      </c>
    </row>
    <row r="113" spans="1:6" ht="12.75">
      <c r="A113" s="3" t="s">
        <v>292</v>
      </c>
      <c r="B113" s="4" t="str">
        <f>VLOOKUP(A113,Insumos,2)</f>
        <v>cemento Portland</v>
      </c>
      <c r="C113" s="6" t="str">
        <f>VLOOKUP(A113,Insumos,3)</f>
        <v>kg</v>
      </c>
      <c r="D113" s="60">
        <f>+D114*300</f>
        <v>1896</v>
      </c>
      <c r="E113" s="4">
        <f>VLOOKUP(A113,'IN-06-10'!$A$5:$D$440,4)</f>
        <v>0.4787</v>
      </c>
      <c r="F113" s="79">
        <f>(D113*E113)</f>
        <v>907.6152000000001</v>
      </c>
    </row>
    <row r="114" spans="1:6" ht="12.75">
      <c r="A114" s="3" t="s">
        <v>304</v>
      </c>
      <c r="B114" s="4" t="str">
        <f>VLOOKUP(A114,Insumos,2)</f>
        <v>ripiosa</v>
      </c>
      <c r="C114" s="6" t="str">
        <f>VLOOKUP(A114,Insumos,3)</f>
        <v>m3</v>
      </c>
      <c r="D114" s="60">
        <f>1.05+4.86+0.41</f>
        <v>6.32</v>
      </c>
      <c r="E114" s="105">
        <f>VLOOKUP(A114,'IN-06-10'!$A$5:$D$440,4)</f>
        <v>48</v>
      </c>
      <c r="F114" s="79">
        <f>(D114*E114)</f>
        <v>303.36</v>
      </c>
    </row>
    <row r="115" spans="1:6" ht="12.75">
      <c r="A115" s="3"/>
      <c r="B115" s="4"/>
      <c r="C115" s="6"/>
      <c r="D115" s="60"/>
      <c r="E115" s="60"/>
      <c r="F115" s="79"/>
    </row>
    <row r="116" spans="1:6" ht="12.75">
      <c r="A116" s="94" t="s">
        <v>1074</v>
      </c>
      <c r="D116" s="60"/>
      <c r="E116" s="60"/>
      <c r="F116" s="79"/>
    </row>
    <row r="117" spans="1:6" ht="12.75">
      <c r="A117" s="3" t="s">
        <v>325</v>
      </c>
      <c r="B117" s="4" t="str">
        <f>VLOOKUP(A117,Insumos,2)</f>
        <v>cuadrilla tipo U.G.A.T.S.</v>
      </c>
      <c r="C117" s="6" t="str">
        <f>VLOOKUP(A117,Insumos,3)</f>
        <v>h</v>
      </c>
      <c r="D117" s="60">
        <f>50+1+7.02+7.02+9.9+9.9+4.54+4.54+6+2</f>
        <v>101.92000000000002</v>
      </c>
      <c r="E117" s="60">
        <f>VLOOKUP(A117,Insumos,4)</f>
        <v>25.29</v>
      </c>
      <c r="F117" s="79">
        <f>(D117*E117)</f>
        <v>2577.5568000000003</v>
      </c>
    </row>
    <row r="118" spans="1:6" ht="12.75">
      <c r="A118" s="94" t="s">
        <v>1075</v>
      </c>
      <c r="D118" s="60"/>
      <c r="E118" s="60"/>
      <c r="F118" s="79"/>
    </row>
    <row r="119" spans="1:6" ht="12.75">
      <c r="A119" s="3" t="s">
        <v>290</v>
      </c>
      <c r="B119" s="4" t="str">
        <f>VLOOKUP(A119,Insumos,2)</f>
        <v>canasta 1 (camión volcador)</v>
      </c>
      <c r="C119" s="6" t="str">
        <f>VLOOKUP(A119,Insumos,3)</f>
        <v>h</v>
      </c>
      <c r="D119" s="60">
        <v>0.4</v>
      </c>
      <c r="E119" s="60">
        <f>VLOOKUP(A119,Insumos,4)</f>
        <v>195.2</v>
      </c>
      <c r="F119" s="79">
        <f>(D119*E119)</f>
        <v>78.08</v>
      </c>
    </row>
    <row r="120" ht="13.5" thickBot="1"/>
    <row r="121" spans="1:7" ht="13.5" thickTop="1">
      <c r="A121" s="87" t="s">
        <v>1069</v>
      </c>
      <c r="B121" s="8" t="s">
        <v>1083</v>
      </c>
      <c r="C121" s="89" t="str">
        <f>Fecha</f>
        <v>JUN/10</v>
      </c>
      <c r="D121" s="57"/>
      <c r="E121" s="57"/>
      <c r="F121" s="77">
        <f>SUM(F123:F131)</f>
        <v>9843.6576828</v>
      </c>
      <c r="G121" s="50"/>
    </row>
    <row r="122" spans="1:7" ht="13.5" thickBot="1">
      <c r="A122" s="7" t="s">
        <v>1068</v>
      </c>
      <c r="B122" s="7" t="s">
        <v>381</v>
      </c>
      <c r="C122" s="90" t="s">
        <v>1067</v>
      </c>
      <c r="D122" s="58" t="s">
        <v>1084</v>
      </c>
      <c r="E122" s="59"/>
      <c r="F122" s="78"/>
      <c r="G122" s="51" t="s">
        <v>1070</v>
      </c>
    </row>
    <row r="123" spans="1:6" ht="13.5" thickTop="1">
      <c r="A123" s="94" t="s">
        <v>1073</v>
      </c>
      <c r="D123" s="60"/>
      <c r="E123" s="60"/>
      <c r="F123" s="79"/>
    </row>
    <row r="124" spans="1:6" ht="12.75">
      <c r="A124" s="3" t="s">
        <v>330</v>
      </c>
      <c r="B124" s="4" t="str">
        <f>VLOOKUP(A124,'IN-06-10'!$A$5:$D$440,2)</f>
        <v>caño PVC 3.2 p/desague cloacal 0.110 x 4 m.</v>
      </c>
      <c r="C124" s="4" t="str">
        <f>VLOOKUP(A124,'IN-06-10'!$A$5:$D$440,3)</f>
        <v>m</v>
      </c>
      <c r="D124" s="60">
        <v>115.52</v>
      </c>
      <c r="E124" s="105">
        <f>VLOOKUP(A124,'IN-06-10'!$A$5:$D$440,4)</f>
        <v>26.0432</v>
      </c>
      <c r="F124" s="79">
        <f>(D124*E124)</f>
        <v>3008.510464</v>
      </c>
    </row>
    <row r="125" spans="1:6" ht="12.75">
      <c r="A125" s="3" t="s">
        <v>553</v>
      </c>
      <c r="B125" s="4" t="str">
        <f>VLOOKUP(A125,'IN-06-10'!$A$5:$D$440,2)</f>
        <v>caño PVC 3.2 p/desague cloacal 0.060 x 4 m.</v>
      </c>
      <c r="C125" s="4" t="str">
        <f>VLOOKUP(A125,'IN-06-10'!$A$5:$D$440,3)</f>
        <v>m</v>
      </c>
      <c r="D125" s="60">
        <v>22.387</v>
      </c>
      <c r="E125" s="105">
        <f>VLOOKUP(A125,'IN-06-10'!$A$5:$D$440,4)</f>
        <v>22.1857</v>
      </c>
      <c r="F125" s="79">
        <f>(D125*E125)</f>
        <v>496.67126590000004</v>
      </c>
    </row>
    <row r="126" spans="1:6" ht="12.75">
      <c r="A126" s="3" t="s">
        <v>554</v>
      </c>
      <c r="B126" s="4" t="str">
        <f>VLOOKUP(A126,'IN-06-10'!$A$5:$D$440,2)</f>
        <v>ramal Y PVC 0.110x0.63</v>
      </c>
      <c r="C126" s="4" t="str">
        <f>VLOOKUP(A126,'IN-06-10'!$A$5:$D$440,3)</f>
        <v>u</v>
      </c>
      <c r="D126" s="60">
        <v>147.78</v>
      </c>
      <c r="E126" s="105">
        <f>VLOOKUP(A126,'IN-06-10'!$A$5:$D$440,4)</f>
        <v>20.6691</v>
      </c>
      <c r="F126" s="79">
        <f>(D126*E126)</f>
        <v>3054.479598</v>
      </c>
    </row>
    <row r="127" spans="1:6" ht="12.75">
      <c r="A127" s="3" t="s">
        <v>292</v>
      </c>
      <c r="B127" s="4" t="str">
        <f>VLOOKUP(A127,Insumos,2)</f>
        <v>cemento Portland</v>
      </c>
      <c r="C127" s="6" t="str">
        <f>VLOOKUP(A127,Insumos,3)</f>
        <v>kg</v>
      </c>
      <c r="D127" s="60">
        <v>62.927</v>
      </c>
      <c r="E127" s="105">
        <f>VLOOKUP(A127,'IN-06-10'!$A$5:$D$440,4)</f>
        <v>0.4787</v>
      </c>
      <c r="F127" s="79">
        <f>(D127*E127)</f>
        <v>30.1231549</v>
      </c>
    </row>
    <row r="128" spans="1:6" ht="12.75">
      <c r="A128" s="94" t="s">
        <v>1074</v>
      </c>
      <c r="D128" s="60"/>
      <c r="E128" s="60"/>
      <c r="F128" s="79"/>
    </row>
    <row r="129" spans="1:6" ht="12.75">
      <c r="A129" s="3" t="s">
        <v>325</v>
      </c>
      <c r="B129" s="4" t="str">
        <f>VLOOKUP(A129,Insumos,2)</f>
        <v>cuadrilla tipo U.G.A.T.S.</v>
      </c>
      <c r="C129" s="6" t="str">
        <f>VLOOKUP(A129,Insumos,3)</f>
        <v>h</v>
      </c>
      <c r="D129" s="60">
        <v>122.04</v>
      </c>
      <c r="E129" s="60">
        <f>VLOOKUP(A129,Insumos,4)</f>
        <v>25.29</v>
      </c>
      <c r="F129" s="79">
        <f>(D129*E129)</f>
        <v>3086.3916</v>
      </c>
    </row>
    <row r="130" spans="1:6" ht="12.75">
      <c r="A130" s="94" t="s">
        <v>1075</v>
      </c>
      <c r="D130" s="60"/>
      <c r="E130" s="60"/>
      <c r="F130" s="79"/>
    </row>
    <row r="131" spans="1:6" ht="12.75">
      <c r="A131" s="3" t="s">
        <v>290</v>
      </c>
      <c r="B131" s="4" t="str">
        <f>VLOOKUP(A131,Insumos,2)</f>
        <v>canasta 1 (camión volcador)</v>
      </c>
      <c r="C131" s="6" t="str">
        <f>VLOOKUP(A131,Insumos,3)</f>
        <v>h</v>
      </c>
      <c r="D131" s="60">
        <v>0.858</v>
      </c>
      <c r="E131" s="60">
        <f>VLOOKUP(A131,Insumos,4)</f>
        <v>195.2</v>
      </c>
      <c r="F131" s="79">
        <f>(D131*E131)</f>
        <v>167.4816</v>
      </c>
    </row>
    <row r="231" ht="12.75">
      <c r="H231" s="100">
        <v>100</v>
      </c>
    </row>
  </sheetData>
  <sheetProtection password="DF1D" sheet="1" objects="1" scenarios="1"/>
  <printOptions/>
  <pageMargins left="0.7874015748031497" right="0.75" top="1.1811023622047245" bottom="0.984251968503937" header="0" footer="0"/>
  <pageSetup horizontalDpi="300" verticalDpi="300" orientation="portrait" paperSize="5" scale="8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workbookViewId="0" topLeftCell="A1">
      <selection activeCell="A19" sqref="A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1069</v>
      </c>
      <c r="B2" s="8" t="s">
        <v>383</v>
      </c>
      <c r="C2" s="89" t="str">
        <f>Fecha</f>
        <v>JUN/10</v>
      </c>
      <c r="D2" s="57"/>
      <c r="E2" s="57"/>
      <c r="F2" s="77">
        <f>SUM(F4:F13)</f>
        <v>2070.9553800000003</v>
      </c>
      <c r="G2" s="50"/>
    </row>
    <row r="3" spans="1:7" ht="13.5" thickBot="1">
      <c r="A3" s="7" t="s">
        <v>1068</v>
      </c>
      <c r="B3" s="7" t="s">
        <v>382</v>
      </c>
      <c r="C3" s="90" t="s">
        <v>1067</v>
      </c>
      <c r="D3" s="58" t="s">
        <v>573</v>
      </c>
      <c r="E3" s="59"/>
      <c r="F3" s="78"/>
      <c r="G3" s="51" t="s">
        <v>1070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333</v>
      </c>
      <c r="B5" s="4" t="str">
        <f>VLOOKUP(A5,Insumos,2)</f>
        <v>caño de chapa galvanizada</v>
      </c>
      <c r="C5" s="6" t="str">
        <f>VLOOKUP(A5,Insumos,3)</f>
        <v>m</v>
      </c>
      <c r="D5" s="60">
        <v>5.77</v>
      </c>
      <c r="E5" s="60">
        <f>VLOOKUP(A5,Insumos,4)</f>
        <v>14.7272</v>
      </c>
      <c r="F5" s="79">
        <f>(D5*E5)</f>
        <v>84.975944</v>
      </c>
    </row>
    <row r="6" spans="1:6" ht="12.75">
      <c r="A6" s="3" t="s">
        <v>435</v>
      </c>
      <c r="B6" s="4" t="str">
        <f>VLOOKUP(A6,Insumos,2)</f>
        <v>codo epoxi 19 mm</v>
      </c>
      <c r="C6" s="6" t="str">
        <f>VLOOKUP(A6,Insumos,3)</f>
        <v>u</v>
      </c>
      <c r="D6" s="60">
        <v>29.54</v>
      </c>
      <c r="E6" s="60">
        <f>VLOOKUP(A6,Insumos,4)</f>
        <v>3.7314</v>
      </c>
      <c r="F6" s="79">
        <f>(D6*E6)</f>
        <v>110.225556</v>
      </c>
    </row>
    <row r="7" spans="1:6" ht="12.75">
      <c r="A7" s="3" t="s">
        <v>434</v>
      </c>
      <c r="B7" s="4" t="str">
        <f>VLOOKUP(A7,Insumos,2)</f>
        <v>caño extruído 19 mm</v>
      </c>
      <c r="C7" s="6" t="str">
        <f>VLOOKUP(A7,Insumos,3)</f>
        <v>m</v>
      </c>
      <c r="D7" s="60">
        <v>18.6</v>
      </c>
      <c r="E7" s="60">
        <f>VLOOKUP(A7,Insumos,4)</f>
        <v>24.8496</v>
      </c>
      <c r="F7" s="79">
        <f>(D7*E7)</f>
        <v>462.20256</v>
      </c>
    </row>
    <row r="8" spans="1:6" ht="12.75">
      <c r="A8" s="3" t="s">
        <v>331</v>
      </c>
      <c r="B8" s="4" t="str">
        <f>VLOOKUP(A8,Insumos,2)</f>
        <v>llave p/gas cromada 1/2"</v>
      </c>
      <c r="C8" s="6" t="str">
        <f>VLOOKUP(A8,Insumos,3)</f>
        <v>u</v>
      </c>
      <c r="D8" s="60">
        <v>3.33</v>
      </c>
      <c r="E8" s="60">
        <f>VLOOKUP(A8,Insumos,4)</f>
        <v>31.124</v>
      </c>
      <c r="F8" s="79">
        <f>(D8*E8)</f>
        <v>103.64292</v>
      </c>
    </row>
    <row r="9" spans="1:6" ht="12.75">
      <c r="A9" s="3" t="s">
        <v>844</v>
      </c>
      <c r="B9" s="4" t="str">
        <f>VLOOKUP(A9,Insumos,2)</f>
        <v>gabinete medidor gas</v>
      </c>
      <c r="C9" s="6" t="str">
        <f>VLOOKUP(A9,Insumos,3)</f>
        <v>u</v>
      </c>
      <c r="D9" s="60">
        <v>1</v>
      </c>
      <c r="E9" s="60">
        <f>VLOOKUP(A9,Insumos,4)</f>
        <v>117.2884</v>
      </c>
      <c r="F9" s="79">
        <f>(D9*E9)</f>
        <v>117.2884</v>
      </c>
    </row>
    <row r="10" spans="1:6" ht="12.75">
      <c r="A10" s="94" t="s">
        <v>1074</v>
      </c>
      <c r="D10" s="60"/>
      <c r="E10" s="60"/>
      <c r="F10" s="79"/>
    </row>
    <row r="11" spans="1:6" ht="12.75">
      <c r="A11" s="3" t="s">
        <v>325</v>
      </c>
      <c r="B11" s="4" t="str">
        <f>VLOOKUP(A11,Insumos,2)</f>
        <v>cuadrilla tipo U.G.A.T.S.</v>
      </c>
      <c r="C11" s="6" t="str">
        <f>VLOOKUP(A11,Insumos,3)</f>
        <v>h</v>
      </c>
      <c r="D11" s="60">
        <v>46</v>
      </c>
      <c r="E11" s="60">
        <f>VLOOKUP(A11,Insumos,4)</f>
        <v>25.29</v>
      </c>
      <c r="F11" s="79">
        <f>(D11*E11)</f>
        <v>1163.34</v>
      </c>
    </row>
    <row r="12" spans="1:6" ht="12.75">
      <c r="A12" s="94" t="s">
        <v>1075</v>
      </c>
      <c r="D12" s="60"/>
      <c r="E12" s="60"/>
      <c r="F12" s="79"/>
    </row>
    <row r="13" spans="1:6" ht="12.75">
      <c r="A13" s="3" t="s">
        <v>290</v>
      </c>
      <c r="B13" s="4" t="str">
        <f>VLOOKUP(A13,Insumos,2)</f>
        <v>canasta 1 (camión volcador)</v>
      </c>
      <c r="C13" s="6" t="str">
        <f>VLOOKUP(A13,Insumos,3)</f>
        <v>h</v>
      </c>
      <c r="D13" s="60">
        <v>0.15</v>
      </c>
      <c r="E13" s="60">
        <f>VLOOKUP(A13,Insumos,4)</f>
        <v>195.2</v>
      </c>
      <c r="F13" s="79">
        <f>(D13*E13)</f>
        <v>29.279999999999998</v>
      </c>
    </row>
    <row r="14" ht="13.5" thickBot="1"/>
    <row r="15" spans="1:7" ht="13.5" thickTop="1">
      <c r="A15" s="87" t="s">
        <v>1069</v>
      </c>
      <c r="B15" s="8" t="s">
        <v>509</v>
      </c>
      <c r="C15" s="89" t="str">
        <f>Fecha</f>
        <v>JUN/10</v>
      </c>
      <c r="D15" s="57"/>
      <c r="E15" s="57"/>
      <c r="F15" s="77">
        <f>SUM(F17:F28)</f>
        <v>2408.109124</v>
      </c>
      <c r="G15" s="50"/>
    </row>
    <row r="16" spans="1:7" ht="13.5" thickBot="1">
      <c r="A16" s="7" t="s">
        <v>1068</v>
      </c>
      <c r="B16" s="7" t="s">
        <v>382</v>
      </c>
      <c r="C16" s="90" t="s">
        <v>1067</v>
      </c>
      <c r="D16" s="58" t="s">
        <v>582</v>
      </c>
      <c r="E16" s="59"/>
      <c r="F16" s="78"/>
      <c r="G16" s="51" t="s">
        <v>1070</v>
      </c>
    </row>
    <row r="17" spans="1:6" ht="13.5" thickTop="1">
      <c r="A17" s="94" t="s">
        <v>1073</v>
      </c>
      <c r="D17" s="60"/>
      <c r="E17" s="60"/>
      <c r="F17" s="79"/>
    </row>
    <row r="18" spans="1:6" ht="12.75">
      <c r="A18" s="3" t="s">
        <v>555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60">
        <v>4.8</v>
      </c>
      <c r="E18" s="60">
        <f aca="true" t="shared" si="2" ref="E18:E24">VLOOKUP(A18,Insumos,4)</f>
        <v>19.719</v>
      </c>
      <c r="F18" s="79">
        <f aca="true" t="shared" si="3" ref="F18:F24">(D18*E18)</f>
        <v>94.6512</v>
      </c>
    </row>
    <row r="19" spans="1:6" ht="12.75">
      <c r="A19" s="3" t="s">
        <v>435</v>
      </c>
      <c r="B19" s="4" t="str">
        <f t="shared" si="0"/>
        <v>codo epoxi 19 mm</v>
      </c>
      <c r="C19" s="6" t="str">
        <f t="shared" si="1"/>
        <v>u</v>
      </c>
      <c r="D19" s="60">
        <v>28.5</v>
      </c>
      <c r="E19" s="60">
        <f t="shared" si="2"/>
        <v>3.7314</v>
      </c>
      <c r="F19" s="79">
        <f t="shared" si="3"/>
        <v>106.3449</v>
      </c>
    </row>
    <row r="20" spans="1:6" ht="12.75">
      <c r="A20" s="3" t="s">
        <v>434</v>
      </c>
      <c r="B20" s="4" t="str">
        <f t="shared" si="0"/>
        <v>caño extruído 19 mm</v>
      </c>
      <c r="C20" s="6" t="str">
        <f t="shared" si="1"/>
        <v>m</v>
      </c>
      <c r="D20" s="60">
        <v>25.6</v>
      </c>
      <c r="E20" s="60">
        <f t="shared" si="2"/>
        <v>24.8496</v>
      </c>
      <c r="F20" s="79">
        <f t="shared" si="3"/>
        <v>636.14976</v>
      </c>
    </row>
    <row r="21" spans="1:6" ht="12.75">
      <c r="A21" s="3" t="s">
        <v>332</v>
      </c>
      <c r="B21" s="4" t="str">
        <f t="shared" si="0"/>
        <v>regulador y flexible p/gas natural</v>
      </c>
      <c r="C21" s="6" t="str">
        <f t="shared" si="1"/>
        <v>u</v>
      </c>
      <c r="D21" s="60">
        <v>1</v>
      </c>
      <c r="E21" s="60">
        <f t="shared" si="2"/>
        <v>66.58</v>
      </c>
      <c r="F21" s="79">
        <f t="shared" si="3"/>
        <v>66.58</v>
      </c>
    </row>
    <row r="22" spans="1:6" ht="12.75">
      <c r="A22" s="3" t="s">
        <v>844</v>
      </c>
      <c r="B22" s="4" t="str">
        <f t="shared" si="0"/>
        <v>gabinete medidor gas</v>
      </c>
      <c r="C22" s="6" t="str">
        <f t="shared" si="1"/>
        <v>u</v>
      </c>
      <c r="D22" s="60">
        <v>1</v>
      </c>
      <c r="E22" s="60">
        <f t="shared" si="2"/>
        <v>117.2884</v>
      </c>
      <c r="F22" s="79">
        <f t="shared" si="3"/>
        <v>117.2884</v>
      </c>
    </row>
    <row r="23" spans="1:6" ht="12.75">
      <c r="A23" s="3" t="s">
        <v>331</v>
      </c>
      <c r="B23" s="4" t="str">
        <f t="shared" si="0"/>
        <v>llave p/gas cromada 1/2"</v>
      </c>
      <c r="C23" s="6" t="str">
        <f t="shared" si="1"/>
        <v>u</v>
      </c>
      <c r="D23" s="60">
        <v>3.33</v>
      </c>
      <c r="E23" s="60">
        <f t="shared" si="2"/>
        <v>31.124</v>
      </c>
      <c r="F23" s="79">
        <f t="shared" si="3"/>
        <v>103.64292</v>
      </c>
    </row>
    <row r="24" spans="1:6" ht="12.75">
      <c r="A24" s="3" t="s">
        <v>333</v>
      </c>
      <c r="B24" s="4" t="str">
        <f t="shared" si="0"/>
        <v>caño de chapa galvanizada</v>
      </c>
      <c r="C24" s="6" t="str">
        <f t="shared" si="1"/>
        <v>m</v>
      </c>
      <c r="D24" s="60">
        <v>5.77</v>
      </c>
      <c r="E24" s="60">
        <f t="shared" si="2"/>
        <v>14.7272</v>
      </c>
      <c r="F24" s="79">
        <f t="shared" si="3"/>
        <v>84.975944</v>
      </c>
    </row>
    <row r="25" spans="1:6" ht="12.75">
      <c r="A25" s="94" t="s">
        <v>1074</v>
      </c>
      <c r="D25" s="60"/>
      <c r="E25" s="60"/>
      <c r="F25" s="79"/>
    </row>
    <row r="26" spans="1:6" ht="12.75">
      <c r="A26" s="3" t="s">
        <v>325</v>
      </c>
      <c r="B26" s="4" t="str">
        <f>VLOOKUP(A26,Insumos,2)</f>
        <v>cuadrilla tipo U.G.A.T.S.</v>
      </c>
      <c r="C26" s="6" t="str">
        <f>VLOOKUP(A26,Insumos,3)</f>
        <v>h</v>
      </c>
      <c r="D26" s="60">
        <v>46</v>
      </c>
      <c r="E26" s="60">
        <f>VLOOKUP(A26,Insumos,4)</f>
        <v>25.29</v>
      </c>
      <c r="F26" s="79">
        <f>(D26*E26)</f>
        <v>1163.34</v>
      </c>
    </row>
    <row r="27" spans="1:6" ht="12.75">
      <c r="A27" s="94" t="s">
        <v>1075</v>
      </c>
      <c r="D27" s="60"/>
      <c r="E27" s="60"/>
      <c r="F27" s="79"/>
    </row>
    <row r="28" spans="1:6" ht="12.75">
      <c r="A28" s="3" t="s">
        <v>290</v>
      </c>
      <c r="B28" s="4" t="str">
        <f>VLOOKUP(A28,Insumos,2)</f>
        <v>canasta 1 (camión volcador)</v>
      </c>
      <c r="C28" s="6" t="str">
        <f>VLOOKUP(A28,Insumos,3)</f>
        <v>h</v>
      </c>
      <c r="D28" s="60">
        <v>0.18</v>
      </c>
      <c r="E28" s="60">
        <f>VLOOKUP(A28,Insumos,4)</f>
        <v>195.2</v>
      </c>
      <c r="F28" s="79">
        <f>(D28*E28)</f>
        <v>35.135999999999996</v>
      </c>
    </row>
    <row r="29" ht="13.5" thickBot="1"/>
    <row r="30" spans="1:7" ht="13.5" thickTop="1">
      <c r="A30" s="87" t="s">
        <v>1069</v>
      </c>
      <c r="B30" s="8" t="s">
        <v>384</v>
      </c>
      <c r="C30" s="89" t="str">
        <f>Fecha</f>
        <v>JUN/10</v>
      </c>
      <c r="D30" s="57"/>
      <c r="E30" s="57"/>
      <c r="F30" s="77">
        <f>SUM(F32:F42)</f>
        <v>32671.287968800003</v>
      </c>
      <c r="G30" s="50"/>
    </row>
    <row r="31" spans="1:7" ht="13.5" thickBot="1">
      <c r="A31" s="7" t="s">
        <v>1068</v>
      </c>
      <c r="B31" s="7" t="s">
        <v>382</v>
      </c>
      <c r="C31" s="90" t="s">
        <v>1067</v>
      </c>
      <c r="D31" s="58" t="s">
        <v>436</v>
      </c>
      <c r="E31" s="59"/>
      <c r="F31" s="78"/>
      <c r="G31" s="51" t="s">
        <v>1070</v>
      </c>
    </row>
    <row r="32" spans="1:6" ht="13.5" thickTop="1">
      <c r="A32" s="94" t="s">
        <v>1073</v>
      </c>
      <c r="D32" s="60"/>
      <c r="E32" s="60"/>
      <c r="F32" s="79"/>
    </row>
    <row r="33" spans="1:6" ht="12.75">
      <c r="A33" s="3" t="s">
        <v>333</v>
      </c>
      <c r="B33" s="4" t="str">
        <f aca="true" t="shared" si="4" ref="B33:B38">VLOOKUP(A33,Insumos,2)</f>
        <v>caño de chapa galvanizada</v>
      </c>
      <c r="C33" s="6" t="str">
        <f aca="true" t="shared" si="5" ref="C33:C38">VLOOKUP(A33,Insumos,3)</f>
        <v>m</v>
      </c>
      <c r="D33" s="60">
        <v>103.441</v>
      </c>
      <c r="E33" s="60">
        <f aca="true" t="shared" si="6" ref="E33:E38">VLOOKUP(A33,Insumos,4)</f>
        <v>14.7272</v>
      </c>
      <c r="F33" s="79">
        <f aca="true" t="shared" si="7" ref="F33:F38">(D33*E33)</f>
        <v>1523.3962952</v>
      </c>
    </row>
    <row r="34" spans="1:6" ht="12.75">
      <c r="A34" s="3" t="s">
        <v>435</v>
      </c>
      <c r="B34" s="4" t="str">
        <f t="shared" si="4"/>
        <v>codo epoxi 19 mm</v>
      </c>
      <c r="C34" s="6" t="str">
        <f t="shared" si="5"/>
        <v>u</v>
      </c>
      <c r="D34" s="60">
        <v>367.221</v>
      </c>
      <c r="E34" s="60">
        <f t="shared" si="6"/>
        <v>3.7314</v>
      </c>
      <c r="F34" s="79">
        <f t="shared" si="7"/>
        <v>1370.2484394</v>
      </c>
    </row>
    <row r="35" spans="1:6" ht="12.75">
      <c r="A35" s="3" t="s">
        <v>434</v>
      </c>
      <c r="B35" s="4" t="str">
        <f t="shared" si="4"/>
        <v>caño extruído 19 mm</v>
      </c>
      <c r="C35" s="6" t="str">
        <f t="shared" si="5"/>
        <v>m</v>
      </c>
      <c r="D35" s="60">
        <v>324.371</v>
      </c>
      <c r="E35" s="60">
        <f t="shared" si="6"/>
        <v>24.8496</v>
      </c>
      <c r="F35" s="79">
        <f t="shared" si="7"/>
        <v>8060.489601599999</v>
      </c>
    </row>
    <row r="36" spans="1:6" ht="12.75">
      <c r="A36" s="3" t="s">
        <v>331</v>
      </c>
      <c r="B36" s="4" t="str">
        <f t="shared" si="4"/>
        <v>llave p/gas cromada 1/2"</v>
      </c>
      <c r="C36" s="6" t="str">
        <f t="shared" si="5"/>
        <v>u</v>
      </c>
      <c r="D36" s="60">
        <v>156.193</v>
      </c>
      <c r="E36" s="60">
        <f t="shared" si="6"/>
        <v>31.124</v>
      </c>
      <c r="F36" s="79">
        <f t="shared" si="7"/>
        <v>4861.350932</v>
      </c>
    </row>
    <row r="37" spans="1:6" ht="12.75">
      <c r="A37" s="3" t="s">
        <v>555</v>
      </c>
      <c r="B37" s="4" t="str">
        <f t="shared" si="4"/>
        <v>componentes epoxi x 1/4lt.</v>
      </c>
      <c r="C37" s="6" t="str">
        <f t="shared" si="5"/>
        <v>u</v>
      </c>
      <c r="D37" s="60">
        <v>70.497</v>
      </c>
      <c r="E37" s="60">
        <f t="shared" si="6"/>
        <v>19.719</v>
      </c>
      <c r="F37" s="79">
        <f t="shared" si="7"/>
        <v>1390.130343</v>
      </c>
    </row>
    <row r="38" spans="1:6" ht="12.75">
      <c r="A38" s="3" t="s">
        <v>844</v>
      </c>
      <c r="B38" s="4" t="str">
        <f t="shared" si="4"/>
        <v>gabinete medidor gas</v>
      </c>
      <c r="C38" s="6" t="str">
        <f t="shared" si="5"/>
        <v>u</v>
      </c>
      <c r="D38" s="60">
        <v>9.464</v>
      </c>
      <c r="E38" s="60">
        <f t="shared" si="6"/>
        <v>117.2884</v>
      </c>
      <c r="F38" s="79">
        <f t="shared" si="7"/>
        <v>1110.0174176</v>
      </c>
    </row>
    <row r="39" spans="1:6" ht="12.75">
      <c r="A39" s="94" t="s">
        <v>1074</v>
      </c>
      <c r="D39" s="60"/>
      <c r="E39" s="60"/>
      <c r="F39" s="79"/>
    </row>
    <row r="40" spans="1:6" ht="12.75">
      <c r="A40" s="3" t="s">
        <v>325</v>
      </c>
      <c r="B40" s="4" t="str">
        <f>VLOOKUP(A40,Insumos,2)</f>
        <v>cuadrilla tipo U.G.A.T.S.</v>
      </c>
      <c r="C40" s="6" t="str">
        <f>VLOOKUP(A40,Insumos,3)</f>
        <v>h</v>
      </c>
      <c r="D40" s="60">
        <v>539.446</v>
      </c>
      <c r="E40" s="60">
        <f>VLOOKUP(A40,Insumos,4)</f>
        <v>25.29</v>
      </c>
      <c r="F40" s="79">
        <f>(D40*E40)</f>
        <v>13642.58934</v>
      </c>
    </row>
    <row r="41" spans="1:6" ht="12.75">
      <c r="A41" s="94" t="s">
        <v>1075</v>
      </c>
      <c r="D41" s="60"/>
      <c r="E41" s="60"/>
      <c r="F41" s="79"/>
    </row>
    <row r="42" spans="1:6" ht="12.75">
      <c r="A42" s="3" t="s">
        <v>290</v>
      </c>
      <c r="B42" s="4" t="str">
        <f>VLOOKUP(A42,Insumos,2)</f>
        <v>canasta 1 (camión volcador)</v>
      </c>
      <c r="C42" s="6" t="str">
        <f>VLOOKUP(A42,Insumos,3)</f>
        <v>h</v>
      </c>
      <c r="D42" s="60">
        <v>3.653</v>
      </c>
      <c r="E42" s="60">
        <f>VLOOKUP(A42,Insumos,4)</f>
        <v>195.2</v>
      </c>
      <c r="F42" s="79">
        <f>(D42*E42)</f>
        <v>713.0656</v>
      </c>
    </row>
    <row r="43" ht="13.5" thickBot="1"/>
    <row r="44" spans="1:7" ht="13.5" thickTop="1">
      <c r="A44" s="87" t="s">
        <v>1069</v>
      </c>
      <c r="B44" s="8" t="s">
        <v>385</v>
      </c>
      <c r="C44" s="89" t="str">
        <f>Fecha</f>
        <v>JUN/10</v>
      </c>
      <c r="D44" s="57"/>
      <c r="E44" s="57"/>
      <c r="F44" s="77">
        <f>SUM(F46:F53)</f>
        <v>2285.8269999999998</v>
      </c>
      <c r="G44" s="50"/>
    </row>
    <row r="45" spans="1:7" ht="13.5" thickBot="1">
      <c r="A45" s="7" t="s">
        <v>1068</v>
      </c>
      <c r="B45" s="7" t="s">
        <v>386</v>
      </c>
      <c r="C45" s="90" t="s">
        <v>1067</v>
      </c>
      <c r="D45" s="58" t="s">
        <v>418</v>
      </c>
      <c r="E45" s="59"/>
      <c r="F45" s="78"/>
      <c r="G45" s="51" t="s">
        <v>1070</v>
      </c>
    </row>
    <row r="46" spans="1:6" ht="13.5" thickTop="1">
      <c r="A46" s="94" t="s">
        <v>1073</v>
      </c>
      <c r="D46" s="60"/>
      <c r="E46" s="60"/>
      <c r="F46" s="79"/>
    </row>
    <row r="47" spans="1:6" ht="12.75">
      <c r="A47" s="3" t="s">
        <v>334</v>
      </c>
      <c r="B47" s="4" t="str">
        <f>VLOOKUP(A47,Insumos,2)</f>
        <v>cocina 4 hornallas</v>
      </c>
      <c r="C47" s="6" t="str">
        <f>VLOOKUP(A47,Insumos,3)</f>
        <v>u</v>
      </c>
      <c r="D47" s="60">
        <v>1</v>
      </c>
      <c r="E47" s="60">
        <f>VLOOKUP(A47,Insumos,4)</f>
        <v>404.673</v>
      </c>
      <c r="F47" s="79">
        <f>(D47*E47)</f>
        <v>404.673</v>
      </c>
    </row>
    <row r="48" spans="1:6" ht="12.75">
      <c r="A48" s="3" t="s">
        <v>335</v>
      </c>
      <c r="B48" s="4" t="str">
        <f>VLOOKUP(A48,Insumos,2)</f>
        <v>calefón 14 litros blanco</v>
      </c>
      <c r="C48" s="6" t="str">
        <f>VLOOKUP(A48,Insumos,3)</f>
        <v>u</v>
      </c>
      <c r="D48" s="60">
        <v>1</v>
      </c>
      <c r="E48" s="60">
        <f>VLOOKUP(A48,Insumos,4)</f>
        <v>769.8199</v>
      </c>
      <c r="F48" s="79">
        <f>(D48*E48)</f>
        <v>769.8199</v>
      </c>
    </row>
    <row r="49" spans="1:6" ht="12.75">
      <c r="A49" s="3" t="s">
        <v>336</v>
      </c>
      <c r="B49" s="4" t="str">
        <f>VLOOKUP(A49,Insumos,2)</f>
        <v>calefactor TB 3800 calorias</v>
      </c>
      <c r="C49" s="6" t="str">
        <f>VLOOKUP(A49,Insumos,3)</f>
        <v>u</v>
      </c>
      <c r="D49" s="60">
        <v>1</v>
      </c>
      <c r="E49" s="60">
        <f>VLOOKUP(A49,Insumos,4)</f>
        <v>768.2149</v>
      </c>
      <c r="F49" s="79">
        <f>(D49*E49)</f>
        <v>768.2149</v>
      </c>
    </row>
    <row r="50" spans="1:6" ht="12.75">
      <c r="A50" s="94" t="s">
        <v>1074</v>
      </c>
      <c r="D50" s="60"/>
      <c r="E50" s="60"/>
      <c r="F50" s="79"/>
    </row>
    <row r="51" spans="1:6" ht="12.75">
      <c r="A51" s="3" t="s">
        <v>325</v>
      </c>
      <c r="B51" s="4" t="str">
        <f>VLOOKUP(A51,Insumos,2)</f>
        <v>cuadrilla tipo U.G.A.T.S.</v>
      </c>
      <c r="C51" s="6" t="str">
        <f>VLOOKUP(A51,Insumos,3)</f>
        <v>h</v>
      </c>
      <c r="D51" s="60">
        <v>10.48</v>
      </c>
      <c r="E51" s="60">
        <f>VLOOKUP(A51,Insumos,4)</f>
        <v>25.29</v>
      </c>
      <c r="F51" s="79">
        <f>(D51*E51)</f>
        <v>265.0392</v>
      </c>
    </row>
    <row r="52" spans="1:6" ht="12.75">
      <c r="A52" s="94" t="s">
        <v>1075</v>
      </c>
      <c r="D52" s="60"/>
      <c r="E52" s="60"/>
      <c r="F52" s="79"/>
    </row>
    <row r="53" spans="1:6" ht="12.75">
      <c r="A53" s="3" t="s">
        <v>290</v>
      </c>
      <c r="B53" s="4" t="str">
        <f>VLOOKUP(A53,Insumos,2)</f>
        <v>canasta 1 (camión volcador)</v>
      </c>
      <c r="C53" s="6" t="str">
        <f>VLOOKUP(A53,Insumos,3)</f>
        <v>h</v>
      </c>
      <c r="D53" s="60">
        <v>0.4</v>
      </c>
      <c r="E53" s="60">
        <f>VLOOKUP(A53,Insumos,4)</f>
        <v>195.2</v>
      </c>
      <c r="F53" s="79">
        <f>(D53*E53)</f>
        <v>78.08</v>
      </c>
    </row>
    <row r="55" ht="13.5" thickBot="1"/>
    <row r="56" spans="1:7" ht="13.5" thickTop="1">
      <c r="A56" s="87" t="s">
        <v>1069</v>
      </c>
      <c r="B56" s="8" t="s">
        <v>1063</v>
      </c>
      <c r="C56" s="89" t="str">
        <f>Fecha</f>
        <v>JUN/10</v>
      </c>
      <c r="D56" s="57"/>
      <c r="E56" s="57"/>
      <c r="F56" s="77">
        <f>SUM(F58:F72)</f>
        <v>4701.744124000001</v>
      </c>
      <c r="G56" s="50"/>
    </row>
    <row r="57" spans="1:7" ht="13.5" thickBot="1">
      <c r="A57" s="7" t="s">
        <v>1068</v>
      </c>
      <c r="B57" s="7" t="s">
        <v>382</v>
      </c>
      <c r="C57" s="90" t="s">
        <v>1067</v>
      </c>
      <c r="D57" s="58" t="s">
        <v>1064</v>
      </c>
      <c r="E57" s="59"/>
      <c r="F57" s="78"/>
      <c r="G57" s="51" t="s">
        <v>1070</v>
      </c>
    </row>
    <row r="58" spans="1:6" ht="13.5" thickTop="1">
      <c r="A58" s="94" t="s">
        <v>1073</v>
      </c>
      <c r="D58" s="60"/>
      <c r="E58" s="60"/>
      <c r="F58" s="79"/>
    </row>
    <row r="59" spans="1:6" ht="12.75">
      <c r="A59" s="3" t="s">
        <v>555</v>
      </c>
      <c r="B59" s="4" t="str">
        <f aca="true" t="shared" si="8" ref="B59:B65">VLOOKUP(A59,Insumos,2)</f>
        <v>componentes epoxi x 1/4lt.</v>
      </c>
      <c r="C59" s="6" t="str">
        <f aca="true" t="shared" si="9" ref="C59:C65">VLOOKUP(A59,Insumos,3)</f>
        <v>u</v>
      </c>
      <c r="D59" s="60">
        <v>4.8</v>
      </c>
      <c r="E59" s="60">
        <f aca="true" t="shared" si="10" ref="E59:E65">VLOOKUP(A59,Insumos,4)</f>
        <v>19.719</v>
      </c>
      <c r="F59" s="79">
        <f aca="true" t="shared" si="11" ref="F59:F68">(D59*E59)</f>
        <v>94.6512</v>
      </c>
    </row>
    <row r="60" spans="1:6" ht="12.75">
      <c r="A60" s="3" t="s">
        <v>435</v>
      </c>
      <c r="B60" s="4" t="str">
        <f t="shared" si="8"/>
        <v>codo epoxi 19 mm</v>
      </c>
      <c r="C60" s="6" t="str">
        <f t="shared" si="9"/>
        <v>u</v>
      </c>
      <c r="D60" s="60">
        <v>28.5</v>
      </c>
      <c r="E60" s="60">
        <f t="shared" si="10"/>
        <v>3.7314</v>
      </c>
      <c r="F60" s="79">
        <f t="shared" si="11"/>
        <v>106.3449</v>
      </c>
    </row>
    <row r="61" spans="1:6" ht="12.75">
      <c r="A61" s="3" t="s">
        <v>434</v>
      </c>
      <c r="B61" s="4" t="str">
        <f t="shared" si="8"/>
        <v>caño extruído 19 mm</v>
      </c>
      <c r="C61" s="6" t="str">
        <f t="shared" si="9"/>
        <v>m</v>
      </c>
      <c r="D61" s="60">
        <v>25.6</v>
      </c>
      <c r="E61" s="60">
        <f t="shared" si="10"/>
        <v>24.8496</v>
      </c>
      <c r="F61" s="79">
        <f t="shared" si="11"/>
        <v>636.14976</v>
      </c>
    </row>
    <row r="62" spans="1:6" ht="12.75">
      <c r="A62" s="3" t="s">
        <v>332</v>
      </c>
      <c r="B62" s="4" t="str">
        <f t="shared" si="8"/>
        <v>regulador y flexible p/gas natural</v>
      </c>
      <c r="C62" s="6" t="str">
        <f t="shared" si="9"/>
        <v>u</v>
      </c>
      <c r="D62" s="60">
        <v>1</v>
      </c>
      <c r="E62" s="60">
        <f t="shared" si="10"/>
        <v>66.58</v>
      </c>
      <c r="F62" s="79">
        <f t="shared" si="11"/>
        <v>66.58</v>
      </c>
    </row>
    <row r="63" spans="1:6" ht="12.75">
      <c r="A63" s="3" t="s">
        <v>844</v>
      </c>
      <c r="B63" s="4" t="str">
        <f t="shared" si="8"/>
        <v>gabinete medidor gas</v>
      </c>
      <c r="C63" s="6" t="str">
        <f t="shared" si="9"/>
        <v>u</v>
      </c>
      <c r="D63" s="60">
        <v>1</v>
      </c>
      <c r="E63" s="60">
        <f t="shared" si="10"/>
        <v>117.2884</v>
      </c>
      <c r="F63" s="79">
        <f t="shared" si="11"/>
        <v>117.2884</v>
      </c>
    </row>
    <row r="64" spans="1:6" ht="12.75">
      <c r="A64" s="3" t="s">
        <v>331</v>
      </c>
      <c r="B64" s="4" t="str">
        <f t="shared" si="8"/>
        <v>llave p/gas cromada 1/2"</v>
      </c>
      <c r="C64" s="6" t="str">
        <f t="shared" si="9"/>
        <v>u</v>
      </c>
      <c r="D64" s="60">
        <v>3.33</v>
      </c>
      <c r="E64" s="60">
        <f t="shared" si="10"/>
        <v>31.124</v>
      </c>
      <c r="F64" s="79">
        <f t="shared" si="11"/>
        <v>103.64292</v>
      </c>
    </row>
    <row r="65" spans="1:6" ht="12.75">
      <c r="A65" s="3" t="s">
        <v>333</v>
      </c>
      <c r="B65" s="4" t="str">
        <f t="shared" si="8"/>
        <v>caño de chapa galvanizada</v>
      </c>
      <c r="C65" s="6" t="str">
        <f t="shared" si="9"/>
        <v>m</v>
      </c>
      <c r="D65" s="60">
        <v>5.77</v>
      </c>
      <c r="E65" s="60">
        <f t="shared" si="10"/>
        <v>14.7272</v>
      </c>
      <c r="F65" s="79">
        <f t="shared" si="11"/>
        <v>84.975944</v>
      </c>
    </row>
    <row r="66" spans="1:6" ht="12.75">
      <c r="A66" s="3" t="s">
        <v>334</v>
      </c>
      <c r="B66" s="4" t="str">
        <f>VLOOKUP(A66,Insumos,2)</f>
        <v>cocina 4 hornallas</v>
      </c>
      <c r="C66" s="6" t="str">
        <f>VLOOKUP(A66,Insumos,3)</f>
        <v>u</v>
      </c>
      <c r="D66" s="60">
        <v>1</v>
      </c>
      <c r="E66" s="60">
        <f>VLOOKUP(A66,Insumos,4)</f>
        <v>404.673</v>
      </c>
      <c r="F66" s="79">
        <f t="shared" si="11"/>
        <v>404.673</v>
      </c>
    </row>
    <row r="67" spans="1:6" ht="12.75">
      <c r="A67" s="3" t="s">
        <v>335</v>
      </c>
      <c r="B67" s="4" t="str">
        <f>VLOOKUP(A67,Insumos,2)</f>
        <v>calefón 14 litros blanco</v>
      </c>
      <c r="C67" s="6" t="str">
        <f>VLOOKUP(A67,Insumos,3)</f>
        <v>u</v>
      </c>
      <c r="D67" s="60">
        <v>1</v>
      </c>
      <c r="E67" s="60">
        <f>VLOOKUP(A67,Insumos,4)</f>
        <v>769.8199</v>
      </c>
      <c r="F67" s="79">
        <f t="shared" si="11"/>
        <v>769.8199</v>
      </c>
    </row>
    <row r="68" spans="1:6" ht="12.75">
      <c r="A68" s="3" t="s">
        <v>336</v>
      </c>
      <c r="B68" s="4" t="str">
        <f>VLOOKUP(A68,Insumos,2)</f>
        <v>calefactor TB 3800 calorias</v>
      </c>
      <c r="C68" s="6" t="str">
        <f>VLOOKUP(A68,Insumos,3)</f>
        <v>u</v>
      </c>
      <c r="D68" s="60">
        <v>1</v>
      </c>
      <c r="E68" s="60">
        <f>VLOOKUP(A68,Insumos,4)</f>
        <v>768.2149</v>
      </c>
      <c r="F68" s="79">
        <f t="shared" si="11"/>
        <v>768.2149</v>
      </c>
    </row>
    <row r="69" spans="1:6" ht="12.75">
      <c r="A69" s="94" t="s">
        <v>1074</v>
      </c>
      <c r="D69" s="60"/>
      <c r="E69" s="60"/>
      <c r="F69" s="79"/>
    </row>
    <row r="70" spans="1:6" ht="12.75">
      <c r="A70" s="3" t="s">
        <v>325</v>
      </c>
      <c r="B70" s="4" t="str">
        <f>VLOOKUP(A70,Insumos,2)</f>
        <v>cuadrilla tipo U.G.A.T.S.</v>
      </c>
      <c r="C70" s="6" t="str">
        <f>VLOOKUP(A70,Insumos,3)</f>
        <v>h</v>
      </c>
      <c r="D70" s="60">
        <f>46+D51</f>
        <v>56.480000000000004</v>
      </c>
      <c r="E70" s="60">
        <f>VLOOKUP(A70,Insumos,4)</f>
        <v>25.29</v>
      </c>
      <c r="F70" s="79">
        <f>(D70*E70)</f>
        <v>1428.3792</v>
      </c>
    </row>
    <row r="71" spans="1:6" ht="12.75">
      <c r="A71" s="94" t="s">
        <v>1075</v>
      </c>
      <c r="D71" s="60"/>
      <c r="E71" s="60"/>
      <c r="F71" s="79"/>
    </row>
    <row r="72" spans="1:6" ht="12.75">
      <c r="A72" s="3" t="s">
        <v>290</v>
      </c>
      <c r="B72" s="4" t="str">
        <f>VLOOKUP(A72,Insumos,2)</f>
        <v>canasta 1 (camión volcador)</v>
      </c>
      <c r="C72" s="6" t="str">
        <f>VLOOKUP(A72,Insumos,3)</f>
        <v>h</v>
      </c>
      <c r="D72" s="60">
        <v>0.62</v>
      </c>
      <c r="E72" s="60">
        <f>VLOOKUP(A72,Insumos,4)</f>
        <v>195.2</v>
      </c>
      <c r="F72" s="79">
        <f>(D72*E72)</f>
        <v>121.02399999999999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workbookViewId="0" topLeftCell="A1">
      <selection activeCell="A58" sqref="A5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1069</v>
      </c>
      <c r="B2" s="8" t="s">
        <v>387</v>
      </c>
      <c r="C2" s="89" t="str">
        <f>Fecha</f>
        <v>JUN/10</v>
      </c>
      <c r="D2" s="57"/>
      <c r="E2" s="57"/>
      <c r="F2" s="77">
        <f>SUM(F4:F13)</f>
        <v>2745.0087000000003</v>
      </c>
      <c r="G2" s="50"/>
    </row>
    <row r="3" spans="1:7" ht="13.5" thickBot="1">
      <c r="A3" s="7" t="s">
        <v>1068</v>
      </c>
      <c r="B3" s="7" t="s">
        <v>388</v>
      </c>
      <c r="C3" s="90" t="s">
        <v>1067</v>
      </c>
      <c r="D3" s="58" t="s">
        <v>419</v>
      </c>
      <c r="E3" s="59"/>
      <c r="F3" s="78"/>
      <c r="G3" s="51" t="s">
        <v>1070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337</v>
      </c>
      <c r="B5" s="4" t="str">
        <f>VLOOKUP(A5,Insumos,2)</f>
        <v>caño semipesado 5/8" x 3 m.</v>
      </c>
      <c r="C5" s="6" t="str">
        <f>VLOOKUP(A5,Insumos,3)</f>
        <v>u</v>
      </c>
      <c r="D5" s="60">
        <v>63.72</v>
      </c>
      <c r="E5" s="60">
        <f>VLOOKUP(A5,Insumos,4)</f>
        <v>14.83</v>
      </c>
      <c r="F5" s="79">
        <f>(D5*E5)</f>
        <v>944.9676</v>
      </c>
    </row>
    <row r="6" spans="1:6" ht="12.75">
      <c r="A6" s="3" t="s">
        <v>338</v>
      </c>
      <c r="B6" s="4" t="str">
        <f>VLOOKUP(A6,Insumos,2)</f>
        <v>caja rectangular 10 x 5 x 4.5</v>
      </c>
      <c r="C6" s="6" t="str">
        <f>VLOOKUP(A6,Insumos,3)</f>
        <v>u</v>
      </c>
      <c r="D6" s="60">
        <v>53.35</v>
      </c>
      <c r="E6" s="60">
        <f>VLOOKUP(A6,Insumos,4)</f>
        <v>1.97</v>
      </c>
      <c r="F6" s="79">
        <f>(D6*E6)</f>
        <v>105.0995</v>
      </c>
    </row>
    <row r="7" spans="1:6" ht="12.75">
      <c r="A7" s="3" t="s">
        <v>339</v>
      </c>
      <c r="B7" s="4" t="str">
        <f>VLOOKUP(A7,Insumos,2)</f>
        <v>llave 1 punto y toma 10 A</v>
      </c>
      <c r="C7" s="6" t="str">
        <f>VLOOKUP(A7,Insumos,3)</f>
        <v>u</v>
      </c>
      <c r="D7" s="60">
        <v>13.73</v>
      </c>
      <c r="E7" s="60">
        <f>VLOOKUP(A7,Insumos,4)</f>
        <v>10.95</v>
      </c>
      <c r="F7" s="79">
        <f>(D7*E7)</f>
        <v>150.3435</v>
      </c>
    </row>
    <row r="8" spans="1:6" ht="12.75">
      <c r="A8" s="3" t="s">
        <v>340</v>
      </c>
      <c r="B8" s="4" t="str">
        <f>VLOOKUP(A8,Insumos,2)</f>
        <v>interruptor termomagnético DIN 1x10 A</v>
      </c>
      <c r="C8" s="6" t="str">
        <f>VLOOKUP(A8,Insumos,3)</f>
        <v>u</v>
      </c>
      <c r="D8" s="60">
        <v>4.9</v>
      </c>
      <c r="E8" s="60">
        <f>VLOOKUP(A8,Insumos,4)</f>
        <v>9.13</v>
      </c>
      <c r="F8" s="79">
        <f>(D8*E8)</f>
        <v>44.73700000000001</v>
      </c>
    </row>
    <row r="9" spans="1:6" ht="12.75">
      <c r="A9" s="3" t="s">
        <v>341</v>
      </c>
      <c r="B9" s="4" t="str">
        <f>VLOOKUP(A9,Insumos,2)</f>
        <v>cable cobre aislado 1 x 2.5 mm2.</v>
      </c>
      <c r="C9" s="6" t="str">
        <f>VLOOKUP(A9,Insumos,3)</f>
        <v>m</v>
      </c>
      <c r="D9" s="60">
        <v>132.75</v>
      </c>
      <c r="E9" s="60">
        <f>VLOOKUP(A9,Insumos,4)</f>
        <v>1.5524</v>
      </c>
      <c r="F9" s="79">
        <f>(D9*E9)</f>
        <v>206.0811</v>
      </c>
    </row>
    <row r="10" spans="1:6" ht="12.75">
      <c r="A10" s="94" t="s">
        <v>1074</v>
      </c>
      <c r="D10" s="60"/>
      <c r="E10" s="60"/>
      <c r="F10" s="79"/>
    </row>
    <row r="11" spans="1:6" ht="12.75">
      <c r="A11" s="3" t="s">
        <v>325</v>
      </c>
      <c r="B11" s="4" t="str">
        <f>VLOOKUP(A11,Insumos,2)</f>
        <v>cuadrilla tipo U.G.A.T.S.</v>
      </c>
      <c r="C11" s="6" t="str">
        <f>VLOOKUP(A11,Insumos,3)</f>
        <v>h</v>
      </c>
      <c r="D11" s="60">
        <v>50</v>
      </c>
      <c r="E11" s="60">
        <f>VLOOKUP(A11,Insumos,4)</f>
        <v>25.29</v>
      </c>
      <c r="F11" s="79">
        <f>(D11*E11)</f>
        <v>1264.5</v>
      </c>
    </row>
    <row r="12" spans="1:6" ht="12.75">
      <c r="A12" s="94" t="s">
        <v>1075</v>
      </c>
      <c r="D12" s="60"/>
      <c r="E12" s="60"/>
      <c r="F12" s="79"/>
    </row>
    <row r="13" spans="1:6" ht="12.75">
      <c r="A13" s="3" t="s">
        <v>290</v>
      </c>
      <c r="B13" s="4" t="str">
        <f>VLOOKUP(A13,Insumos,2)</f>
        <v>canasta 1 (camión volcador)</v>
      </c>
      <c r="C13" s="6" t="str">
        <f>VLOOKUP(A13,Insumos,3)</f>
        <v>h</v>
      </c>
      <c r="D13" s="60">
        <v>0.15</v>
      </c>
      <c r="E13" s="60">
        <f>VLOOKUP(A13,Insumos,4)</f>
        <v>195.2</v>
      </c>
      <c r="F13" s="79">
        <f>(D13*E13)</f>
        <v>29.279999999999998</v>
      </c>
    </row>
    <row r="14" ht="13.5" thickBot="1"/>
    <row r="15" spans="1:7" ht="13.5" thickTop="1">
      <c r="A15" s="87" t="s">
        <v>1069</v>
      </c>
      <c r="B15" s="8" t="s">
        <v>389</v>
      </c>
      <c r="C15" s="89" t="str">
        <f>Fecha</f>
        <v>JUN/10</v>
      </c>
      <c r="D15" s="57"/>
      <c r="E15" s="57"/>
      <c r="F15" s="77">
        <f>SUM(F17:F27)</f>
        <v>48737.32898</v>
      </c>
      <c r="G15" s="50"/>
    </row>
    <row r="16" spans="1:7" ht="13.5" thickBot="1">
      <c r="A16" s="7" t="s">
        <v>1068</v>
      </c>
      <c r="B16" s="7" t="s">
        <v>388</v>
      </c>
      <c r="C16" s="90" t="s">
        <v>1067</v>
      </c>
      <c r="D16" s="58" t="s">
        <v>1089</v>
      </c>
      <c r="E16" s="59"/>
      <c r="F16" s="78"/>
      <c r="G16" s="51" t="s">
        <v>1070</v>
      </c>
    </row>
    <row r="17" spans="1:6" ht="13.5" thickTop="1">
      <c r="A17" s="94" t="s">
        <v>1073</v>
      </c>
      <c r="D17" s="60"/>
      <c r="E17" s="60"/>
      <c r="F17" s="79"/>
    </row>
    <row r="18" spans="1:6" ht="12.75">
      <c r="A18" s="3" t="s">
        <v>337</v>
      </c>
      <c r="B18" s="4" t="str">
        <f aca="true" t="shared" si="0" ref="B18:B23">VLOOKUP(A18,Insumos,2)</f>
        <v>caño semipesado 5/8" x 3 m.</v>
      </c>
      <c r="C18" s="6" t="str">
        <f aca="true" t="shared" si="1" ref="C18:C23">VLOOKUP(A18,Insumos,3)</f>
        <v>u</v>
      </c>
      <c r="D18" s="60">
        <v>472.62</v>
      </c>
      <c r="E18" s="60">
        <f aca="true" t="shared" si="2" ref="E18:E23">VLOOKUP(A18,Insumos,4)</f>
        <v>14.83</v>
      </c>
      <c r="F18" s="79">
        <f aca="true" t="shared" si="3" ref="F18:F23">(D18*E18)</f>
        <v>7008.9546</v>
      </c>
    </row>
    <row r="19" spans="1:6" ht="12.75">
      <c r="A19" s="3" t="s">
        <v>338</v>
      </c>
      <c r="B19" s="4" t="str">
        <f t="shared" si="0"/>
        <v>caja rectangular 10 x 5 x 4.5</v>
      </c>
      <c r="C19" s="6" t="str">
        <f t="shared" si="1"/>
        <v>u</v>
      </c>
      <c r="D19" s="60">
        <v>576.332</v>
      </c>
      <c r="E19" s="60">
        <f t="shared" si="2"/>
        <v>1.97</v>
      </c>
      <c r="F19" s="79">
        <f t="shared" si="3"/>
        <v>1135.37404</v>
      </c>
    </row>
    <row r="20" spans="1:6" ht="12.75">
      <c r="A20" s="3" t="s">
        <v>342</v>
      </c>
      <c r="B20" s="4" t="str">
        <f t="shared" si="0"/>
        <v>gabinete completo p/ 12 medidores</v>
      </c>
      <c r="C20" s="6" t="str">
        <f t="shared" si="1"/>
        <v>u</v>
      </c>
      <c r="D20" s="60">
        <v>1.742</v>
      </c>
      <c r="E20" s="60">
        <f t="shared" si="2"/>
        <v>14000</v>
      </c>
      <c r="F20" s="79">
        <f t="shared" si="3"/>
        <v>24388</v>
      </c>
    </row>
    <row r="21" spans="1:6" ht="12.75">
      <c r="A21" s="3" t="s">
        <v>339</v>
      </c>
      <c r="B21" s="4" t="str">
        <f t="shared" si="0"/>
        <v>llave 1 punto y toma 10 A</v>
      </c>
      <c r="C21" s="6" t="str">
        <f t="shared" si="1"/>
        <v>u</v>
      </c>
      <c r="D21" s="60">
        <v>146.85</v>
      </c>
      <c r="E21" s="60">
        <f t="shared" si="2"/>
        <v>10.95</v>
      </c>
      <c r="F21" s="79">
        <f t="shared" si="3"/>
        <v>1608.0075</v>
      </c>
    </row>
    <row r="22" spans="1:6" ht="12.75">
      <c r="A22" s="3" t="s">
        <v>340</v>
      </c>
      <c r="B22" s="4" t="str">
        <f t="shared" si="0"/>
        <v>interruptor termomagnético DIN 1x10 A</v>
      </c>
      <c r="C22" s="6" t="str">
        <f t="shared" si="1"/>
        <v>u</v>
      </c>
      <c r="D22" s="60">
        <v>373.02</v>
      </c>
      <c r="E22" s="60">
        <f t="shared" si="2"/>
        <v>9.13</v>
      </c>
      <c r="F22" s="79">
        <f t="shared" si="3"/>
        <v>3405.6726000000003</v>
      </c>
    </row>
    <row r="23" spans="1:6" ht="12.75">
      <c r="A23" s="3" t="s">
        <v>341</v>
      </c>
      <c r="B23" s="4" t="str">
        <f t="shared" si="0"/>
        <v>cable cobre aislado 1 x 2.5 mm2.</v>
      </c>
      <c r="C23" s="6" t="str">
        <f t="shared" si="1"/>
        <v>m</v>
      </c>
      <c r="D23" s="60">
        <v>2082.325</v>
      </c>
      <c r="E23" s="60">
        <f t="shared" si="2"/>
        <v>1.5524</v>
      </c>
      <c r="F23" s="79">
        <f t="shared" si="3"/>
        <v>3232.6013299999995</v>
      </c>
    </row>
    <row r="24" spans="1:6" ht="12.75">
      <c r="A24" s="94" t="s">
        <v>1074</v>
      </c>
      <c r="D24" s="60"/>
      <c r="E24" s="60"/>
      <c r="F24" s="79"/>
    </row>
    <row r="25" spans="1:6" ht="12.75">
      <c r="A25" s="3" t="s">
        <v>325</v>
      </c>
      <c r="B25" s="4" t="str">
        <f>VLOOKUP(A25,Insumos,2)</f>
        <v>cuadrilla tipo U.G.A.T.S.</v>
      </c>
      <c r="C25" s="6" t="str">
        <f>VLOOKUP(A25,Insumos,3)</f>
        <v>h</v>
      </c>
      <c r="D25" s="60">
        <v>301.299</v>
      </c>
      <c r="E25" s="60">
        <f>VLOOKUP(A25,Insumos,4)</f>
        <v>25.29</v>
      </c>
      <c r="F25" s="79">
        <f>(D25*E25)</f>
        <v>7619.851709999999</v>
      </c>
    </row>
    <row r="26" spans="1:6" ht="12.75">
      <c r="A26" s="94" t="s">
        <v>1075</v>
      </c>
      <c r="D26" s="60"/>
      <c r="E26" s="60"/>
      <c r="F26" s="79"/>
    </row>
    <row r="27" spans="1:6" ht="12.75">
      <c r="A27" s="3" t="s">
        <v>290</v>
      </c>
      <c r="B27" s="4" t="str">
        <f>VLOOKUP(A27,Insumos,2)</f>
        <v>canasta 1 (camión volcador)</v>
      </c>
      <c r="C27" s="6" t="str">
        <f>VLOOKUP(A27,Insumos,3)</f>
        <v>h</v>
      </c>
      <c r="D27" s="60">
        <v>1.736</v>
      </c>
      <c r="E27" s="60">
        <f>VLOOKUP(A27,Insumos,4)</f>
        <v>195.2</v>
      </c>
      <c r="F27" s="79">
        <f>(D27*E27)</f>
        <v>338.86719999999997</v>
      </c>
    </row>
    <row r="28" spans="1:6" ht="13.5" thickBot="1">
      <c r="A28" s="3"/>
      <c r="B28" s="4"/>
      <c r="C28" s="6"/>
      <c r="D28" s="60"/>
      <c r="E28" s="60"/>
      <c r="F28" s="79"/>
    </row>
    <row r="29" spans="1:7" ht="13.5" thickTop="1">
      <c r="A29" s="87" t="s">
        <v>1069</v>
      </c>
      <c r="B29" s="8" t="s">
        <v>541</v>
      </c>
      <c r="C29" s="89" t="str">
        <f>Fecha</f>
        <v>JUN/10</v>
      </c>
      <c r="D29" s="57"/>
      <c r="E29" s="57"/>
      <c r="F29" s="77">
        <f>SUM(F31:F42)</f>
        <v>2796.3851640000003</v>
      </c>
      <c r="G29" s="50"/>
    </row>
    <row r="30" spans="1:7" ht="13.5" thickBot="1">
      <c r="A30" s="7" t="s">
        <v>1068</v>
      </c>
      <c r="B30" s="7" t="s">
        <v>388</v>
      </c>
      <c r="C30" s="90" t="s">
        <v>1067</v>
      </c>
      <c r="D30" s="58" t="s">
        <v>558</v>
      </c>
      <c r="E30" s="59"/>
      <c r="F30" s="78"/>
      <c r="G30" s="51" t="s">
        <v>1070</v>
      </c>
    </row>
    <row r="31" spans="1:6" ht="13.5" thickTop="1">
      <c r="A31" s="94" t="s">
        <v>1073</v>
      </c>
      <c r="D31" s="60"/>
      <c r="E31" s="60"/>
      <c r="F31" s="79"/>
    </row>
    <row r="32" spans="1:6" ht="12.75">
      <c r="A32" s="3" t="s">
        <v>887</v>
      </c>
      <c r="B32" s="4" t="str">
        <f aca="true" t="shared" si="4" ref="B32:B38">VLOOKUP(A32,Insumos,2)</f>
        <v>pilar de luz simple completo</v>
      </c>
      <c r="C32" s="6" t="str">
        <f aca="true" t="shared" si="5" ref="C32:C38">VLOOKUP(A32,Insumos,3)</f>
        <v>u</v>
      </c>
      <c r="D32" s="60">
        <v>1</v>
      </c>
      <c r="E32" s="60">
        <f aca="true" t="shared" si="6" ref="E32:E38">VLOOKUP(A32,Insumos,4)</f>
        <v>252</v>
      </c>
      <c r="F32" s="79">
        <f aca="true" t="shared" si="7" ref="F32:F38">(D32*E32)</f>
        <v>252</v>
      </c>
    </row>
    <row r="33" spans="1:6" ht="12.75">
      <c r="A33" s="3" t="s">
        <v>888</v>
      </c>
      <c r="B33" s="4" t="str">
        <f t="shared" si="4"/>
        <v>caja medidor 220V policarbonato EDESA</v>
      </c>
      <c r="C33" s="6" t="str">
        <f t="shared" si="5"/>
        <v>u</v>
      </c>
      <c r="D33" s="60">
        <v>3.6</v>
      </c>
      <c r="E33" s="60">
        <f t="shared" si="6"/>
        <v>36.31</v>
      </c>
      <c r="F33" s="79">
        <f t="shared" si="7"/>
        <v>130.716</v>
      </c>
    </row>
    <row r="34" spans="1:6" ht="12.75">
      <c r="A34" s="3" t="s">
        <v>338</v>
      </c>
      <c r="B34" s="4" t="str">
        <f t="shared" si="4"/>
        <v>caja rectangular 10 x 5 x 4.5</v>
      </c>
      <c r="C34" s="6" t="str">
        <f t="shared" si="5"/>
        <v>u</v>
      </c>
      <c r="D34" s="60">
        <v>44</v>
      </c>
      <c r="E34" s="60">
        <f t="shared" si="6"/>
        <v>1.97</v>
      </c>
      <c r="F34" s="79">
        <f t="shared" si="7"/>
        <v>86.67999999999999</v>
      </c>
    </row>
    <row r="35" spans="1:6" ht="12.75">
      <c r="A35" s="3" t="s">
        <v>337</v>
      </c>
      <c r="B35" s="4" t="str">
        <f t="shared" si="4"/>
        <v>caño semipesado 5/8" x 3 m.</v>
      </c>
      <c r="C35" s="6" t="str">
        <f t="shared" si="5"/>
        <v>u</v>
      </c>
      <c r="D35" s="60">
        <v>33</v>
      </c>
      <c r="E35" s="60">
        <f t="shared" si="6"/>
        <v>14.83</v>
      </c>
      <c r="F35" s="79">
        <f t="shared" si="7"/>
        <v>489.39</v>
      </c>
    </row>
    <row r="36" spans="1:6" ht="12.75">
      <c r="A36" s="3" t="s">
        <v>339</v>
      </c>
      <c r="B36" s="4" t="str">
        <f t="shared" si="4"/>
        <v>llave 1 punto y toma 10 A</v>
      </c>
      <c r="C36" s="6" t="str">
        <f t="shared" si="5"/>
        <v>u</v>
      </c>
      <c r="D36" s="60">
        <v>21.36</v>
      </c>
      <c r="E36" s="60">
        <f t="shared" si="6"/>
        <v>10.95</v>
      </c>
      <c r="F36" s="79">
        <f t="shared" si="7"/>
        <v>233.89199999999997</v>
      </c>
    </row>
    <row r="37" spans="1:6" ht="12.75">
      <c r="A37" s="3" t="s">
        <v>340</v>
      </c>
      <c r="B37" s="4" t="str">
        <f t="shared" si="4"/>
        <v>interruptor termomagnético DIN 1x10 A</v>
      </c>
      <c r="C37" s="6" t="str">
        <f t="shared" si="5"/>
        <v>u</v>
      </c>
      <c r="D37" s="60">
        <v>25.39</v>
      </c>
      <c r="E37" s="60">
        <f t="shared" si="6"/>
        <v>9.13</v>
      </c>
      <c r="F37" s="79">
        <f t="shared" si="7"/>
        <v>231.81070000000003</v>
      </c>
    </row>
    <row r="38" spans="1:6" ht="12.75">
      <c r="A38" s="3" t="s">
        <v>341</v>
      </c>
      <c r="B38" s="4" t="str">
        <f t="shared" si="4"/>
        <v>cable cobre aislado 1 x 2.5 mm2.</v>
      </c>
      <c r="C38" s="6" t="str">
        <f t="shared" si="5"/>
        <v>m</v>
      </c>
      <c r="D38" s="60">
        <v>174.36</v>
      </c>
      <c r="E38" s="60">
        <f t="shared" si="6"/>
        <v>1.5524</v>
      </c>
      <c r="F38" s="79">
        <f t="shared" si="7"/>
        <v>270.676464</v>
      </c>
    </row>
    <row r="39" spans="1:6" ht="12.75">
      <c r="A39" s="94" t="s">
        <v>1074</v>
      </c>
      <c r="D39" s="60"/>
      <c r="E39" s="60"/>
      <c r="F39" s="79"/>
    </row>
    <row r="40" spans="1:6" ht="12.75">
      <c r="A40" s="3" t="s">
        <v>325</v>
      </c>
      <c r="B40" s="4" t="str">
        <f>VLOOKUP(A40,Insumos,2)</f>
        <v>cuadrilla tipo U.G.A.T.S.</v>
      </c>
      <c r="C40" s="6" t="str">
        <f>VLOOKUP(A40,Insumos,3)</f>
        <v>h</v>
      </c>
      <c r="D40" s="60">
        <v>42</v>
      </c>
      <c r="E40" s="60">
        <f>VLOOKUP(A40,Insumos,4)</f>
        <v>25.29</v>
      </c>
      <c r="F40" s="79">
        <f>(D40*E40)</f>
        <v>1062.18</v>
      </c>
    </row>
    <row r="41" spans="1:6" ht="12.75">
      <c r="A41" s="94" t="s">
        <v>1075</v>
      </c>
      <c r="D41" s="60"/>
      <c r="E41" s="60"/>
      <c r="F41" s="79"/>
    </row>
    <row r="42" spans="1:6" ht="12.75">
      <c r="A42" s="3" t="s">
        <v>290</v>
      </c>
      <c r="B42" s="4" t="str">
        <f>VLOOKUP(A42,Insumos,2)</f>
        <v>canasta 1 (camión volcador)</v>
      </c>
      <c r="C42" s="6" t="str">
        <f>VLOOKUP(A42,Insumos,3)</f>
        <v>h</v>
      </c>
      <c r="D42" s="60">
        <v>0.2</v>
      </c>
      <c r="E42" s="60">
        <f>VLOOKUP(A42,Insumos,4)</f>
        <v>195.2</v>
      </c>
      <c r="F42" s="79">
        <f>(D42*E42)</f>
        <v>39.04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workbookViewId="0" topLeftCell="A31">
      <selection activeCell="D8" sqref="D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1069</v>
      </c>
      <c r="B2" s="8" t="s">
        <v>390</v>
      </c>
      <c r="C2" s="89" t="str">
        <f>Fecha</f>
        <v>JUN/10</v>
      </c>
      <c r="D2" s="57"/>
      <c r="E2" s="57"/>
      <c r="F2" s="77">
        <f>SUM(F5:F12)</f>
        <v>19.12569695</v>
      </c>
      <c r="G2" s="50"/>
    </row>
    <row r="3" spans="1:7" ht="13.5" thickBot="1">
      <c r="A3" s="7" t="s">
        <v>1068</v>
      </c>
      <c r="B3" s="7" t="s">
        <v>391</v>
      </c>
      <c r="C3" s="90" t="s">
        <v>1067</v>
      </c>
      <c r="D3" s="58" t="s">
        <v>420</v>
      </c>
      <c r="E3" s="59"/>
      <c r="F3" s="78"/>
      <c r="G3" s="51" t="s">
        <v>602</v>
      </c>
    </row>
    <row r="4" spans="4:6" ht="4.5" customHeight="1" thickTop="1">
      <c r="D4" s="60"/>
      <c r="E4" s="60"/>
      <c r="F4" s="79"/>
    </row>
    <row r="5" spans="1:6" ht="12.75">
      <c r="A5" s="94" t="s">
        <v>1073</v>
      </c>
      <c r="D5" s="60"/>
      <c r="E5" s="60"/>
      <c r="F5" s="79"/>
    </row>
    <row r="6" spans="1:6" ht="12.75">
      <c r="A6" s="3" t="s">
        <v>343</v>
      </c>
      <c r="B6" s="4" t="str">
        <f>VLOOKUP(A6,Insumos,2)</f>
        <v>pintura al latex - lata 20 lts,</v>
      </c>
      <c r="C6" s="6" t="str">
        <f>VLOOKUP(A6,Insumos,3)</f>
        <v>u</v>
      </c>
      <c r="D6" s="60">
        <v>0.0125</v>
      </c>
      <c r="E6" s="60">
        <f>VLOOKUP(A6,Insumos,4)</f>
        <v>277.7493</v>
      </c>
      <c r="F6" s="79">
        <f>(D6*E6)</f>
        <v>3.47186625</v>
      </c>
    </row>
    <row r="7" spans="1:6" ht="12.75">
      <c r="A7" s="3" t="s">
        <v>769</v>
      </c>
      <c r="B7" s="4" t="str">
        <f>VLOOKUP(A7,Insumos,2)</f>
        <v>fijador al agua</v>
      </c>
      <c r="C7" s="6" t="str">
        <f>VLOOKUP(A7,Insumos,3)</f>
        <v>l</v>
      </c>
      <c r="D7" s="60">
        <v>0.067</v>
      </c>
      <c r="E7" s="60">
        <f>VLOOKUP(A7,Insumos,4)</f>
        <v>10.3281</v>
      </c>
      <c r="F7" s="79">
        <f>(D7*E7)</f>
        <v>0.6919827</v>
      </c>
    </row>
    <row r="8" spans="1:6" ht="12.75">
      <c r="A8" s="3" t="s">
        <v>437</v>
      </c>
      <c r="B8" s="4" t="str">
        <f>VLOOKUP(A8,Insumos,2)</f>
        <v>enduído plástico</v>
      </c>
      <c r="C8" s="6" t="str">
        <f>VLOOKUP(A8,Insumos,3)</f>
        <v>l</v>
      </c>
      <c r="D8" s="60">
        <v>0.34</v>
      </c>
      <c r="E8" s="60">
        <f>VLOOKUP(A8,Insumos,4)</f>
        <v>10.9972</v>
      </c>
      <c r="F8" s="79">
        <f>(D8*E8)</f>
        <v>3.739048</v>
      </c>
    </row>
    <row r="9" spans="1:6" ht="12.75">
      <c r="A9" s="94" t="s">
        <v>1074</v>
      </c>
      <c r="D9" s="60"/>
      <c r="E9" s="60"/>
      <c r="F9" s="79"/>
    </row>
    <row r="10" spans="1:6" ht="12.75">
      <c r="A10" s="3" t="s">
        <v>289</v>
      </c>
      <c r="B10" s="4" t="str">
        <f>VLOOKUP(A10,Insumos,2)</f>
        <v>cuadrilla tipo UOCRA</v>
      </c>
      <c r="C10" s="6" t="str">
        <f>VLOOKUP(A10,Insumos,3)</f>
        <v>h</v>
      </c>
      <c r="D10" s="60">
        <f>0.6/1.2</f>
        <v>0.5</v>
      </c>
      <c r="E10" s="60">
        <f>VLOOKUP(A10,Insumos,4)</f>
        <v>21.86</v>
      </c>
      <c r="F10" s="79">
        <f>(D10*E10)</f>
        <v>10.93</v>
      </c>
    </row>
    <row r="11" spans="1:6" ht="12.75">
      <c r="A11" s="94" t="s">
        <v>1075</v>
      </c>
      <c r="D11" s="60"/>
      <c r="E11" s="60"/>
      <c r="F11" s="79"/>
    </row>
    <row r="12" spans="1:6" ht="12.75">
      <c r="A12" s="3" t="s">
        <v>290</v>
      </c>
      <c r="B12" s="4" t="str">
        <f>VLOOKUP(A12,Insumos,2)</f>
        <v>canasta 1 (camión volcador)</v>
      </c>
      <c r="C12" s="6" t="str">
        <f>VLOOKUP(A12,Insumos,3)</f>
        <v>h</v>
      </c>
      <c r="D12" s="60">
        <v>0.0015</v>
      </c>
      <c r="E12" s="60">
        <f>VLOOKUP(A12,Insumos,4)</f>
        <v>195.2</v>
      </c>
      <c r="F12" s="79">
        <f>(D12*E12)</f>
        <v>0.2928</v>
      </c>
    </row>
    <row r="13" ht="13.5" thickBot="1"/>
    <row r="14" spans="1:7" ht="13.5" thickTop="1">
      <c r="A14" s="87" t="s">
        <v>1069</v>
      </c>
      <c r="B14" s="8" t="s">
        <v>392</v>
      </c>
      <c r="C14" s="89" t="str">
        <f>Fecha</f>
        <v>JUN/10</v>
      </c>
      <c r="D14" s="57"/>
      <c r="E14" s="57"/>
      <c r="F14" s="77">
        <f>SUM(F17:F23)</f>
        <v>5.920211999999999</v>
      </c>
      <c r="G14" s="50"/>
    </row>
    <row r="15" spans="1:7" ht="13.5" thickBot="1">
      <c r="A15" s="7" t="s">
        <v>1068</v>
      </c>
      <c r="B15" s="7" t="s">
        <v>391</v>
      </c>
      <c r="C15" s="90" t="s">
        <v>1067</v>
      </c>
      <c r="D15" s="58" t="s">
        <v>421</v>
      </c>
      <c r="E15" s="59"/>
      <c r="F15" s="78"/>
      <c r="G15" s="51" t="s">
        <v>602</v>
      </c>
    </row>
    <row r="16" spans="4:6" ht="4.5" customHeight="1" thickTop="1">
      <c r="D16" s="60"/>
      <c r="E16" s="60"/>
      <c r="F16" s="79"/>
    </row>
    <row r="17" spans="1:6" ht="12.75">
      <c r="A17" s="94" t="s">
        <v>1073</v>
      </c>
      <c r="D17" s="60"/>
      <c r="E17" s="60"/>
      <c r="F17" s="79"/>
    </row>
    <row r="18" spans="1:6" ht="12.75">
      <c r="A18" s="3" t="s">
        <v>769</v>
      </c>
      <c r="B18" s="4" t="str">
        <f>VLOOKUP(A18,Insumos,2)</f>
        <v>fijador al agua</v>
      </c>
      <c r="C18" s="6" t="str">
        <f>VLOOKUP(A18,Insumos,3)</f>
        <v>l</v>
      </c>
      <c r="D18" s="60">
        <v>0.02</v>
      </c>
      <c r="E18" s="60">
        <f>VLOOKUP(A18,Insumos,4)</f>
        <v>10.3281</v>
      </c>
      <c r="F18" s="79">
        <f>(D18*E18)</f>
        <v>0.206562</v>
      </c>
    </row>
    <row r="19" spans="1:6" ht="12.75">
      <c r="A19" s="3" t="s">
        <v>299</v>
      </c>
      <c r="B19" s="4" t="str">
        <f>VLOOKUP(A19,Insumos,2)</f>
        <v>cal hidratada en bolsa</v>
      </c>
      <c r="C19" s="6" t="str">
        <f>VLOOKUP(A19,Insumos,3)</f>
        <v>kg</v>
      </c>
      <c r="D19" s="60">
        <v>0.3</v>
      </c>
      <c r="E19" s="60">
        <f>VLOOKUP(A19,Insumos,4)</f>
        <v>0.5035</v>
      </c>
      <c r="F19" s="79">
        <f>(D19*E19)</f>
        <v>0.15105</v>
      </c>
    </row>
    <row r="20" spans="1:6" ht="12.75">
      <c r="A20" s="94" t="s">
        <v>1074</v>
      </c>
      <c r="D20" s="60"/>
      <c r="E20" s="60"/>
      <c r="F20" s="79"/>
    </row>
    <row r="21" spans="1:6" ht="12.75">
      <c r="A21" s="3" t="s">
        <v>289</v>
      </c>
      <c r="B21" s="4" t="str">
        <f>VLOOKUP(A21,Insumos,2)</f>
        <v>cuadrilla tipo UOCRA</v>
      </c>
      <c r="C21" s="6" t="str">
        <f>VLOOKUP(A21,Insumos,3)</f>
        <v>h</v>
      </c>
      <c r="D21" s="60">
        <v>0.25</v>
      </c>
      <c r="E21" s="60">
        <f>VLOOKUP(A21,Insumos,4)</f>
        <v>21.86</v>
      </c>
      <c r="F21" s="79">
        <f>(D21*E21)</f>
        <v>5.465</v>
      </c>
    </row>
    <row r="22" spans="1:6" ht="12.75">
      <c r="A22" s="94" t="s">
        <v>1075</v>
      </c>
      <c r="D22" s="60"/>
      <c r="E22" s="60"/>
      <c r="F22" s="79"/>
    </row>
    <row r="23" spans="1:6" ht="12.75">
      <c r="A23" s="3" t="s">
        <v>290</v>
      </c>
      <c r="B23" s="4" t="str">
        <f>VLOOKUP(A23,Insumos,2)</f>
        <v>canasta 1 (camión volcador)</v>
      </c>
      <c r="C23" s="6" t="str">
        <f>VLOOKUP(A23,Insumos,3)</f>
        <v>h</v>
      </c>
      <c r="D23" s="60">
        <v>0.0005</v>
      </c>
      <c r="E23" s="60">
        <f>VLOOKUP(A23,Insumos,4)</f>
        <v>195.2</v>
      </c>
      <c r="F23" s="79">
        <f>(D23*E23)</f>
        <v>0.09759999999999999</v>
      </c>
    </row>
    <row r="24" ht="13.5" thickBot="1"/>
    <row r="25" spans="1:7" ht="13.5" thickTop="1">
      <c r="A25" s="87" t="s">
        <v>1069</v>
      </c>
      <c r="B25" s="8" t="s">
        <v>393</v>
      </c>
      <c r="C25" s="89" t="str">
        <f>Fecha</f>
        <v>JUN/10</v>
      </c>
      <c r="D25" s="57"/>
      <c r="E25" s="57"/>
      <c r="F25" s="77">
        <f>SUM(F28:F34)</f>
        <v>6.220812</v>
      </c>
      <c r="G25" s="50"/>
    </row>
    <row r="26" spans="1:7" ht="13.5" thickBot="1">
      <c r="A26" s="7" t="s">
        <v>1068</v>
      </c>
      <c r="B26" s="7" t="s">
        <v>391</v>
      </c>
      <c r="C26" s="90" t="s">
        <v>1067</v>
      </c>
      <c r="D26" s="58" t="s">
        <v>445</v>
      </c>
      <c r="E26" s="59"/>
      <c r="F26" s="78"/>
      <c r="G26" s="51" t="s">
        <v>602</v>
      </c>
    </row>
    <row r="27" spans="4:6" ht="4.5" customHeight="1" thickTop="1">
      <c r="D27" s="60"/>
      <c r="E27" s="60"/>
      <c r="F27" s="79"/>
    </row>
    <row r="28" spans="1:6" ht="12.75">
      <c r="A28" s="94" t="s">
        <v>1073</v>
      </c>
      <c r="D28" s="60"/>
      <c r="E28" s="60"/>
      <c r="F28" s="79"/>
    </row>
    <row r="29" spans="1:6" ht="12.75">
      <c r="A29" s="3" t="s">
        <v>769</v>
      </c>
      <c r="B29" s="4" t="str">
        <f>VLOOKUP(A29,Insumos,2)</f>
        <v>fijador al agua</v>
      </c>
      <c r="C29" s="6" t="str">
        <f>VLOOKUP(A29,Insumos,3)</f>
        <v>l</v>
      </c>
      <c r="D29" s="60">
        <v>0.02</v>
      </c>
      <c r="E29" s="60">
        <f>VLOOKUP(A29,Insumos,4)</f>
        <v>10.3281</v>
      </c>
      <c r="F29" s="79">
        <f>(D29*E29)</f>
        <v>0.206562</v>
      </c>
    </row>
    <row r="30" spans="1:6" ht="12.75">
      <c r="A30" s="3" t="s">
        <v>446</v>
      </c>
      <c r="B30" s="4" t="str">
        <f>VLOOKUP(A30,Insumos,2)</f>
        <v>pintura al agua bolsa 4 kg</v>
      </c>
      <c r="C30" s="6" t="str">
        <f>VLOOKUP(A30,Insumos,3)</f>
        <v>u</v>
      </c>
      <c r="D30" s="60">
        <v>0.075</v>
      </c>
      <c r="E30" s="60">
        <f>VLOOKUP(A30,Insumos,4)</f>
        <v>6.022</v>
      </c>
      <c r="F30" s="79">
        <f>(D30*E30)</f>
        <v>0.45165</v>
      </c>
    </row>
    <row r="31" spans="1:6" ht="12.75">
      <c r="A31" s="94" t="s">
        <v>1074</v>
      </c>
      <c r="D31" s="60"/>
      <c r="E31" s="60"/>
      <c r="F31" s="79"/>
    </row>
    <row r="32" spans="1:6" ht="12.75">
      <c r="A32" s="3" t="s">
        <v>289</v>
      </c>
      <c r="B32" s="4" t="str">
        <f>VLOOKUP(A32,Insumos,2)</f>
        <v>cuadrilla tipo UOCRA</v>
      </c>
      <c r="C32" s="6" t="str">
        <f>VLOOKUP(A32,Insumos,3)</f>
        <v>h</v>
      </c>
      <c r="D32" s="60">
        <v>0.25</v>
      </c>
      <c r="E32" s="60">
        <f>VLOOKUP(A32,Insumos,4)</f>
        <v>21.86</v>
      </c>
      <c r="F32" s="79">
        <f>(D32*E32)</f>
        <v>5.465</v>
      </c>
    </row>
    <row r="33" spans="1:6" ht="12.75">
      <c r="A33" s="94" t="s">
        <v>1075</v>
      </c>
      <c r="D33" s="60"/>
      <c r="E33" s="60"/>
      <c r="F33" s="79"/>
    </row>
    <row r="34" spans="1:6" ht="12.75">
      <c r="A34" s="3" t="s">
        <v>290</v>
      </c>
      <c r="B34" s="4" t="str">
        <f>VLOOKUP(A34,Insumos,2)</f>
        <v>canasta 1 (camión volcador)</v>
      </c>
      <c r="C34" s="6" t="str">
        <f>VLOOKUP(A34,Insumos,3)</f>
        <v>h</v>
      </c>
      <c r="D34" s="60">
        <v>0.0005</v>
      </c>
      <c r="E34" s="60">
        <f>VLOOKUP(A34,Insumos,4)</f>
        <v>195.2</v>
      </c>
      <c r="F34" s="79">
        <f>(D34*E34)</f>
        <v>0.09759999999999999</v>
      </c>
    </row>
    <row r="35" ht="13.5" thickBot="1"/>
    <row r="36" spans="1:7" ht="13.5" thickTop="1">
      <c r="A36" s="87" t="s">
        <v>1069</v>
      </c>
      <c r="B36" s="8" t="s">
        <v>447</v>
      </c>
      <c r="C36" s="89" t="str">
        <f>Fecha</f>
        <v>JUN/10</v>
      </c>
      <c r="D36" s="57"/>
      <c r="E36" s="57"/>
      <c r="F36" s="77">
        <f>SUM(F39:F46)</f>
        <v>25.2336855</v>
      </c>
      <c r="G36" s="50"/>
    </row>
    <row r="37" spans="1:7" ht="13.5" thickBot="1">
      <c r="A37" s="7" t="s">
        <v>1068</v>
      </c>
      <c r="B37" s="7" t="s">
        <v>391</v>
      </c>
      <c r="C37" s="90" t="s">
        <v>1067</v>
      </c>
      <c r="D37" s="58" t="s">
        <v>422</v>
      </c>
      <c r="E37" s="59"/>
      <c r="F37" s="78"/>
      <c r="G37" s="51" t="s">
        <v>602</v>
      </c>
    </row>
    <row r="38" spans="4:6" ht="4.5" customHeight="1" thickTop="1">
      <c r="D38" s="60"/>
      <c r="E38" s="60"/>
      <c r="F38" s="79"/>
    </row>
    <row r="39" spans="1:6" ht="12.75">
      <c r="A39" s="94" t="s">
        <v>1073</v>
      </c>
      <c r="D39" s="60"/>
      <c r="E39" s="60"/>
      <c r="F39" s="79"/>
    </row>
    <row r="40" spans="1:6" ht="12.75">
      <c r="A40" s="3" t="s">
        <v>344</v>
      </c>
      <c r="B40" s="4" t="str">
        <f>VLOOKUP(A40,Insumos,2)</f>
        <v>esmalte sintetico x 4 lts blanco</v>
      </c>
      <c r="C40" s="6" t="str">
        <f>VLOOKUP(A40,Insumos,3)</f>
        <v>u</v>
      </c>
      <c r="D40" s="60">
        <v>0.05</v>
      </c>
      <c r="E40" s="60">
        <f>VLOOKUP(A40,Insumos,4)</f>
        <v>117.2369</v>
      </c>
      <c r="F40" s="79">
        <f>(D40*E40)</f>
        <v>5.861845000000001</v>
      </c>
    </row>
    <row r="41" spans="1:6" ht="12.75">
      <c r="A41" s="3" t="s">
        <v>890</v>
      </c>
      <c r="B41" s="4" t="str">
        <f>VLOOKUP(A41,Insumos,2)</f>
        <v>antióxido rojo plata x 4 lts.</v>
      </c>
      <c r="C41" s="6" t="str">
        <f>VLOOKUP(A41,Insumos,3)</f>
        <v>u</v>
      </c>
      <c r="D41" s="60">
        <v>0.025</v>
      </c>
      <c r="E41" s="60">
        <f>VLOOKUP(A41,Insumos,4)</f>
        <v>96.0827</v>
      </c>
      <c r="F41" s="79">
        <f>(D41*E41)</f>
        <v>2.4020675000000002</v>
      </c>
    </row>
    <row r="42" spans="1:6" ht="12.75">
      <c r="A42" s="3" t="s">
        <v>439</v>
      </c>
      <c r="B42" s="4" t="str">
        <f>VLOOKUP(A42,Insumos,2)</f>
        <v>barniz sintético</v>
      </c>
      <c r="C42" s="6" t="str">
        <f>VLOOKUP(A42,Insumos,3)</f>
        <v>l</v>
      </c>
      <c r="D42" s="60">
        <v>0.01</v>
      </c>
      <c r="E42" s="60">
        <f>VLOOKUP(A42,Insumos,4)</f>
        <v>18.4373</v>
      </c>
      <c r="F42" s="79">
        <f>(D42*E42)</f>
        <v>0.184373</v>
      </c>
    </row>
    <row r="43" spans="1:6" ht="12.75">
      <c r="A43" s="94" t="s">
        <v>1074</v>
      </c>
      <c r="D43" s="60"/>
      <c r="E43" s="60"/>
      <c r="F43" s="79"/>
    </row>
    <row r="44" spans="1:6" ht="12.75">
      <c r="A44" s="3" t="s">
        <v>289</v>
      </c>
      <c r="B44" s="4" t="str">
        <f>VLOOKUP(A44,Insumos,2)</f>
        <v>cuadrilla tipo UOCRA</v>
      </c>
      <c r="C44" s="6" t="str">
        <f>VLOOKUP(A44,Insumos,3)</f>
        <v>h</v>
      </c>
      <c r="D44" s="60">
        <f>0.9/1.2</f>
        <v>0.75</v>
      </c>
      <c r="E44" s="60">
        <f>VLOOKUP(A44,Insumos,4)</f>
        <v>21.86</v>
      </c>
      <c r="F44" s="79">
        <f>(D44*E44)</f>
        <v>16.395</v>
      </c>
    </row>
    <row r="45" spans="1:6" ht="12.75">
      <c r="A45" s="94" t="s">
        <v>1075</v>
      </c>
      <c r="D45" s="60"/>
      <c r="E45" s="60"/>
      <c r="F45" s="79"/>
    </row>
    <row r="46" spans="1:6" ht="12.75">
      <c r="A46" s="3" t="s">
        <v>290</v>
      </c>
      <c r="B46" s="4" t="str">
        <f>VLOOKUP(A46,Insumos,2)</f>
        <v>canasta 1 (camión volcador)</v>
      </c>
      <c r="C46" s="6" t="str">
        <f>VLOOKUP(A46,Insumos,3)</f>
        <v>h</v>
      </c>
      <c r="D46" s="60">
        <v>0.002</v>
      </c>
      <c r="E46" s="60">
        <f>VLOOKUP(A46,Insumos,4)</f>
        <v>195.2</v>
      </c>
      <c r="F46" s="79">
        <f>(D46*E46)</f>
        <v>0.39039999999999997</v>
      </c>
    </row>
    <row r="47" spans="1:6" ht="13.5" thickBot="1">
      <c r="A47" s="3"/>
      <c r="B47" s="4"/>
      <c r="C47" s="6"/>
      <c r="D47" s="60"/>
      <c r="E47" s="60"/>
      <c r="F47" s="79"/>
    </row>
    <row r="48" spans="1:7" ht="13.5" thickTop="1">
      <c r="A48" s="87" t="s">
        <v>1069</v>
      </c>
      <c r="B48" s="8" t="s">
        <v>891</v>
      </c>
      <c r="C48" s="89" t="str">
        <f>Fecha</f>
        <v>JUN/10</v>
      </c>
      <c r="D48" s="57"/>
      <c r="E48" s="57"/>
      <c r="F48" s="77">
        <f>SUM(F50:F56)</f>
        <v>14.940334</v>
      </c>
      <c r="G48" s="50"/>
    </row>
    <row r="49" spans="1:7" ht="13.5" thickBot="1">
      <c r="A49" s="7" t="s">
        <v>1068</v>
      </c>
      <c r="B49" s="7" t="s">
        <v>391</v>
      </c>
      <c r="C49" s="90" t="s">
        <v>1067</v>
      </c>
      <c r="D49" s="58" t="s">
        <v>538</v>
      </c>
      <c r="E49" s="59"/>
      <c r="F49" s="78"/>
      <c r="G49" s="51" t="s">
        <v>602</v>
      </c>
    </row>
    <row r="50" spans="1:6" ht="13.5" thickTop="1">
      <c r="A50" s="94" t="s">
        <v>1073</v>
      </c>
      <c r="D50" s="60"/>
      <c r="E50" s="60"/>
      <c r="F50" s="79"/>
    </row>
    <row r="51" spans="1:6" ht="12.75">
      <c r="A51" s="3" t="s">
        <v>438</v>
      </c>
      <c r="B51" s="4" t="str">
        <f>VLOOKUP(A51,Insumos,2)</f>
        <v>aguarrás</v>
      </c>
      <c r="C51" s="6" t="str">
        <f>VLOOKUP(A51,Insumos,3)</f>
        <v>l</v>
      </c>
      <c r="D51" s="60">
        <v>0.06</v>
      </c>
      <c r="E51" s="60">
        <f>VLOOKUP(A51,Insumos,4)</f>
        <v>7.7879</v>
      </c>
      <c r="F51" s="79">
        <f>(D51*E51)</f>
        <v>0.46727399999999997</v>
      </c>
    </row>
    <row r="52" spans="1:6" ht="12.75">
      <c r="A52" s="3" t="s">
        <v>439</v>
      </c>
      <c r="B52" s="4" t="str">
        <f>VLOOKUP(A52,Insumos,2)</f>
        <v>barniz sintético</v>
      </c>
      <c r="C52" s="6" t="str">
        <f>VLOOKUP(A52,Insumos,3)</f>
        <v>l</v>
      </c>
      <c r="D52" s="60">
        <v>0.2</v>
      </c>
      <c r="E52" s="60">
        <f>VLOOKUP(A52,Insumos,4)</f>
        <v>18.4373</v>
      </c>
      <c r="F52" s="79">
        <f>(D52*E52)</f>
        <v>3.68746</v>
      </c>
    </row>
    <row r="53" spans="1:6" ht="12.75">
      <c r="A53" s="94" t="s">
        <v>1074</v>
      </c>
      <c r="D53" s="60"/>
      <c r="E53" s="60"/>
      <c r="F53" s="79"/>
    </row>
    <row r="54" spans="1:6" ht="12.75">
      <c r="A54" s="3" t="s">
        <v>289</v>
      </c>
      <c r="B54" s="4" t="str">
        <f>VLOOKUP(A54,Insumos,2)</f>
        <v>cuadrilla tipo UOCRA</v>
      </c>
      <c r="C54" s="6" t="str">
        <f>VLOOKUP(A54,Insumos,3)</f>
        <v>h</v>
      </c>
      <c r="D54" s="60">
        <f>0.6/1.25</f>
        <v>0.48</v>
      </c>
      <c r="E54" s="60">
        <f>VLOOKUP(A54,Insumos,4)</f>
        <v>21.86</v>
      </c>
      <c r="F54" s="79">
        <f>(D54*E54)</f>
        <v>10.492799999999999</v>
      </c>
    </row>
    <row r="55" spans="1:6" ht="12.75">
      <c r="A55" s="94" t="s">
        <v>1075</v>
      </c>
      <c r="D55" s="60"/>
      <c r="E55" s="60"/>
      <c r="F55" s="79"/>
    </row>
    <row r="56" spans="1:6" ht="12.75">
      <c r="A56" s="3" t="s">
        <v>290</v>
      </c>
      <c r="B56" s="4" t="str">
        <f>VLOOKUP(A56,Insumos,2)</f>
        <v>canasta 1 (camión volcador)</v>
      </c>
      <c r="C56" s="6" t="str">
        <f>VLOOKUP(A56,Insumos,3)</f>
        <v>h</v>
      </c>
      <c r="D56" s="60">
        <v>0.0015</v>
      </c>
      <c r="E56" s="60">
        <f>VLOOKUP(A56,Insumos,4)</f>
        <v>195.2</v>
      </c>
      <c r="F56" s="79">
        <f>(D56*E56)</f>
        <v>0.2928</v>
      </c>
    </row>
    <row r="57" spans="1:6" ht="13.5" thickBot="1">
      <c r="A57" s="3"/>
      <c r="B57" s="4"/>
      <c r="C57" s="6"/>
      <c r="D57" s="60"/>
      <c r="E57" s="60"/>
      <c r="F57" s="79"/>
    </row>
    <row r="58" spans="1:7" ht="13.5" thickTop="1">
      <c r="A58" s="87" t="s">
        <v>1069</v>
      </c>
      <c r="B58" s="8" t="s">
        <v>892</v>
      </c>
      <c r="C58" s="89" t="str">
        <f>Fecha</f>
        <v>JUN/10</v>
      </c>
      <c r="D58" s="57"/>
      <c r="E58" s="57"/>
      <c r="F58" s="77">
        <f>SUM(F60:F67)</f>
        <v>21.300661599999998</v>
      </c>
      <c r="G58" s="50"/>
    </row>
    <row r="59" spans="1:7" ht="13.5" thickBot="1">
      <c r="A59" s="7" t="s">
        <v>1068</v>
      </c>
      <c r="B59" s="7" t="s">
        <v>391</v>
      </c>
      <c r="C59" s="90" t="s">
        <v>1067</v>
      </c>
      <c r="D59" s="58" t="s">
        <v>539</v>
      </c>
      <c r="E59" s="59"/>
      <c r="F59" s="78"/>
      <c r="G59" s="51" t="s">
        <v>602</v>
      </c>
    </row>
    <row r="60" spans="1:6" ht="13.5" thickTop="1">
      <c r="A60" s="94" t="s">
        <v>1073</v>
      </c>
      <c r="D60" s="60"/>
      <c r="E60" s="60"/>
      <c r="F60" s="79"/>
    </row>
    <row r="61" spans="1:6" ht="12.75">
      <c r="A61" s="3" t="s">
        <v>438</v>
      </c>
      <c r="B61" s="4" t="str">
        <f>VLOOKUP(A61,Insumos,2)</f>
        <v>aguarrás</v>
      </c>
      <c r="C61" s="6" t="str">
        <f>VLOOKUP(A61,Insumos,3)</f>
        <v>l</v>
      </c>
      <c r="D61" s="60">
        <v>0.06</v>
      </c>
      <c r="E61" s="60">
        <f>VLOOKUP(A61,Insumos,4)</f>
        <v>7.7879</v>
      </c>
      <c r="F61" s="79">
        <f>(D61*E61)</f>
        <v>0.46727399999999997</v>
      </c>
    </row>
    <row r="62" spans="1:6" ht="12.75">
      <c r="A62" s="3" t="s">
        <v>890</v>
      </c>
      <c r="B62" s="4" t="str">
        <f>VLOOKUP(A62,Insumos,2)</f>
        <v>antióxido rojo plata x 4 lts.</v>
      </c>
      <c r="C62" s="6" t="str">
        <f>VLOOKUP(A62,Insumos,3)</f>
        <v>u</v>
      </c>
      <c r="D62" s="60">
        <v>0.038</v>
      </c>
      <c r="E62" s="60">
        <f>VLOOKUP(A62,Insumos,4)</f>
        <v>96.0827</v>
      </c>
      <c r="F62" s="79">
        <f>(D62*E62)</f>
        <v>3.6511426</v>
      </c>
    </row>
    <row r="63" spans="1:6" ht="12.75">
      <c r="A63" s="3" t="s">
        <v>344</v>
      </c>
      <c r="B63" s="4" t="str">
        <f>VLOOKUP(A63,Insumos,2)</f>
        <v>esmalte sintetico x 4 lts blanco</v>
      </c>
      <c r="C63" s="6" t="str">
        <f>VLOOKUP(A63,Insumos,3)</f>
        <v>u</v>
      </c>
      <c r="D63" s="60">
        <v>0.05</v>
      </c>
      <c r="E63" s="60">
        <f>VLOOKUP(A63,Insumos,4)</f>
        <v>117.2369</v>
      </c>
      <c r="F63" s="79">
        <f>(D63*E63)</f>
        <v>5.861845000000001</v>
      </c>
    </row>
    <row r="64" spans="1:6" ht="12.75">
      <c r="A64" s="94" t="s">
        <v>1074</v>
      </c>
      <c r="D64" s="60"/>
      <c r="E64" s="60"/>
      <c r="F64" s="79"/>
    </row>
    <row r="65" spans="1:6" ht="12.75">
      <c r="A65" s="3" t="s">
        <v>289</v>
      </c>
      <c r="B65" s="4" t="str">
        <f>VLOOKUP(A65,Insumos,2)</f>
        <v>cuadrilla tipo UOCRA</v>
      </c>
      <c r="C65" s="6" t="str">
        <f>VLOOKUP(A65,Insumos,3)</f>
        <v>h</v>
      </c>
      <c r="D65" s="60">
        <f>0.6/1.2</f>
        <v>0.5</v>
      </c>
      <c r="E65" s="60">
        <f>VLOOKUP(A65,Insumos,4)</f>
        <v>21.86</v>
      </c>
      <c r="F65" s="79">
        <f>(D65*E65)</f>
        <v>10.93</v>
      </c>
    </row>
    <row r="66" spans="1:6" ht="12.75">
      <c r="A66" s="94" t="s">
        <v>1075</v>
      </c>
      <c r="D66" s="60"/>
      <c r="E66" s="60"/>
      <c r="F66" s="79"/>
    </row>
    <row r="67" spans="1:6" ht="12.75">
      <c r="A67" s="3" t="s">
        <v>290</v>
      </c>
      <c r="B67" s="4" t="str">
        <f>VLOOKUP(A67,Insumos,2)</f>
        <v>canasta 1 (camión volcador)</v>
      </c>
      <c r="C67" s="6" t="str">
        <f>VLOOKUP(A67,Insumos,3)</f>
        <v>h</v>
      </c>
      <c r="D67" s="60">
        <v>0.002</v>
      </c>
      <c r="E67" s="60">
        <f>VLOOKUP(A67,Insumos,4)</f>
        <v>195.2</v>
      </c>
      <c r="F67" s="79">
        <f>(D67*E67)</f>
        <v>0.39039999999999997</v>
      </c>
    </row>
    <row r="68" spans="1:6" ht="13.5" thickBot="1">
      <c r="A68" s="3"/>
      <c r="B68" s="4"/>
      <c r="C68" s="6"/>
      <c r="D68" s="60"/>
      <c r="E68" s="60"/>
      <c r="F68" s="79"/>
    </row>
    <row r="69" spans="1:7" ht="13.5" thickTop="1">
      <c r="A69" s="87" t="s">
        <v>1069</v>
      </c>
      <c r="B69" s="8" t="s">
        <v>893</v>
      </c>
      <c r="C69" s="89" t="str">
        <f>Fecha</f>
        <v>JUN/10</v>
      </c>
      <c r="D69" s="57"/>
      <c r="E69" s="57"/>
      <c r="F69" s="77">
        <f>SUM(F71:F78)</f>
        <v>23.0868076</v>
      </c>
      <c r="G69" s="50"/>
    </row>
    <row r="70" spans="1:7" ht="13.5" thickBot="1">
      <c r="A70" s="7" t="s">
        <v>1068</v>
      </c>
      <c r="B70" s="7" t="s">
        <v>391</v>
      </c>
      <c r="C70" s="90" t="s">
        <v>1067</v>
      </c>
      <c r="D70" s="58" t="s">
        <v>540</v>
      </c>
      <c r="E70" s="59"/>
      <c r="F70" s="78"/>
      <c r="G70" s="51" t="s">
        <v>602</v>
      </c>
    </row>
    <row r="71" spans="1:6" ht="13.5" thickTop="1">
      <c r="A71" s="94" t="s">
        <v>1073</v>
      </c>
      <c r="D71" s="60"/>
      <c r="E71" s="60"/>
      <c r="F71" s="79"/>
    </row>
    <row r="72" spans="1:6" ht="12.75">
      <c r="A72" s="3" t="s">
        <v>770</v>
      </c>
      <c r="B72" s="4" t="str">
        <f>VLOOKUP(A72,Insumos,2)</f>
        <v>pintura siliconadas p/ladrillos </v>
      </c>
      <c r="C72" s="6" t="str">
        <f>VLOOKUP(A72,Insumos,3)</f>
        <v>l</v>
      </c>
      <c r="D72" s="60">
        <v>0.5</v>
      </c>
      <c r="E72" s="60">
        <f>VLOOKUP(A72,Insumos,4)</f>
        <v>20.8995</v>
      </c>
      <c r="F72" s="79">
        <f>(D72*E72)</f>
        <v>10.44975</v>
      </c>
    </row>
    <row r="73" spans="1:6" ht="12.75">
      <c r="A73" s="3" t="s">
        <v>438</v>
      </c>
      <c r="B73" s="4" t="str">
        <f>VLOOKUP(A73,Insumos,2)</f>
        <v>aguarrás</v>
      </c>
      <c r="C73" s="6" t="str">
        <f>VLOOKUP(A73,Insumos,3)</f>
        <v>l</v>
      </c>
      <c r="D73" s="60">
        <v>0.144</v>
      </c>
      <c r="E73" s="60">
        <f>VLOOKUP(A73,Insumos,4)</f>
        <v>7.7879</v>
      </c>
      <c r="F73" s="79">
        <f>(D73*E73)</f>
        <v>1.1214575999999998</v>
      </c>
    </row>
    <row r="74" spans="1:6" ht="12.75">
      <c r="A74" s="3"/>
      <c r="B74" s="4"/>
      <c r="C74" s="6"/>
      <c r="D74" s="60"/>
      <c r="E74" s="60"/>
      <c r="F74" s="79"/>
    </row>
    <row r="75" spans="1:6" ht="12.75">
      <c r="A75" s="94" t="s">
        <v>1074</v>
      </c>
      <c r="D75" s="60"/>
      <c r="E75" s="60"/>
      <c r="F75" s="79"/>
    </row>
    <row r="76" spans="1:6" ht="12.75">
      <c r="A76" s="3" t="s">
        <v>289</v>
      </c>
      <c r="B76" s="4" t="str">
        <f>VLOOKUP(A76,Insumos,2)</f>
        <v>cuadrilla tipo UOCRA</v>
      </c>
      <c r="C76" s="6" t="str">
        <f>VLOOKUP(A76,Insumos,3)</f>
        <v>h</v>
      </c>
      <c r="D76" s="60">
        <v>0.5</v>
      </c>
      <c r="E76" s="60">
        <f>VLOOKUP(A76,Insumos,4)</f>
        <v>21.86</v>
      </c>
      <c r="F76" s="79">
        <f>(D76*E76)</f>
        <v>10.93</v>
      </c>
    </row>
    <row r="77" spans="1:6" ht="12.75">
      <c r="A77" s="94" t="s">
        <v>1075</v>
      </c>
      <c r="D77" s="60"/>
      <c r="E77" s="60"/>
      <c r="F77" s="79"/>
    </row>
    <row r="78" spans="1:6" ht="12.75">
      <c r="A78" s="3" t="s">
        <v>290</v>
      </c>
      <c r="B78" s="4" t="str">
        <f>VLOOKUP(A78,Insumos,2)</f>
        <v>canasta 1 (camión volcador)</v>
      </c>
      <c r="C78" s="6" t="str">
        <f>VLOOKUP(A78,Insumos,3)</f>
        <v>h</v>
      </c>
      <c r="D78" s="60">
        <v>0.003</v>
      </c>
      <c r="E78" s="60">
        <f>VLOOKUP(A78,Insumos,4)</f>
        <v>195.2</v>
      </c>
      <c r="F78" s="79">
        <f>(D78*E78)</f>
        <v>0.5856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workbookViewId="0" topLeftCell="A1">
      <selection activeCell="F23" sqref="F2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1069</v>
      </c>
      <c r="B2" s="8" t="s">
        <v>394</v>
      </c>
      <c r="C2" s="89" t="str">
        <f>Fecha</f>
        <v>JUN/10</v>
      </c>
      <c r="D2" s="57"/>
      <c r="E2" s="57"/>
      <c r="F2" s="77">
        <f>SUM(F5:F7)</f>
        <v>66.742145</v>
      </c>
      <c r="G2" s="50"/>
    </row>
    <row r="3" spans="1:7" ht="13.5" thickBot="1">
      <c r="A3" s="7" t="s">
        <v>1068</v>
      </c>
      <c r="B3" s="7" t="s">
        <v>395</v>
      </c>
      <c r="C3" s="90" t="s">
        <v>1067</v>
      </c>
      <c r="D3" s="58" t="s">
        <v>423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321</v>
      </c>
      <c r="B5" s="4" t="str">
        <f>VLOOKUP(A5,'IN-06-10'!$A$5:$D$440,2)</f>
        <v>vidrio doble transparente</v>
      </c>
      <c r="C5" s="4" t="str">
        <f>VLOOKUP(A5,'IN-06-10'!$A$5:$D$440,3)</f>
        <v>m2</v>
      </c>
      <c r="D5" s="60">
        <v>1.05</v>
      </c>
      <c r="E5" s="105">
        <f>VLOOKUP(A5,'IN-06-10'!$A$5:$D$440,4)</f>
        <v>42.7449</v>
      </c>
      <c r="F5" s="79">
        <f>(D5*E5)</f>
        <v>44.882145</v>
      </c>
    </row>
    <row r="6" spans="1:6" ht="12.75">
      <c r="A6" s="94" t="s">
        <v>1074</v>
      </c>
      <c r="D6" s="60"/>
      <c r="E6" s="60"/>
      <c r="F6" s="79"/>
    </row>
    <row r="7" spans="1:6" ht="12.75">
      <c r="A7" s="3" t="s">
        <v>289</v>
      </c>
      <c r="B7" s="4" t="str">
        <f>VLOOKUP(A7,Insumos,2)</f>
        <v>cuadrilla tipo UOCRA</v>
      </c>
      <c r="C7" s="6" t="str">
        <f>VLOOKUP(A7,Insumos,3)</f>
        <v>h</v>
      </c>
      <c r="D7" s="60">
        <v>1</v>
      </c>
      <c r="E7" s="60">
        <f>VLOOKUP(A7,Insumos,4)</f>
        <v>21.86</v>
      </c>
      <c r="F7" s="79">
        <f>(D7*E7)</f>
        <v>21.86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workbookViewId="0" topLeftCell="A25">
      <selection activeCell="F38" sqref="F3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1069</v>
      </c>
      <c r="B2" s="8" t="s">
        <v>716</v>
      </c>
      <c r="C2" s="89" t="str">
        <f>Fecha</f>
        <v>JUN/10</v>
      </c>
      <c r="D2" s="57"/>
      <c r="E2" s="57"/>
      <c r="F2" s="77">
        <f>SUM(F5:F9)</f>
        <v>11.93336006</v>
      </c>
      <c r="G2" s="50"/>
    </row>
    <row r="3" spans="1:7" ht="13.5" thickBot="1">
      <c r="A3" s="7" t="s">
        <v>1068</v>
      </c>
      <c r="B3" s="7" t="s">
        <v>448</v>
      </c>
      <c r="C3" s="90" t="s">
        <v>1067</v>
      </c>
      <c r="D3" s="58" t="s">
        <v>717</v>
      </c>
      <c r="E3" s="59"/>
      <c r="F3" s="78"/>
      <c r="G3" s="51" t="s">
        <v>475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345</v>
      </c>
      <c r="B5" s="4" t="str">
        <f>VLOOKUP(A5,Insumos,2)</f>
        <v>alambre de puas x 500 m.</v>
      </c>
      <c r="C5" s="6" t="str">
        <f>VLOOKUP(A5,Insumos,3)</f>
        <v>rollo</v>
      </c>
      <c r="D5" s="60">
        <f>4.1/500</f>
        <v>0.008199999999999999</v>
      </c>
      <c r="E5" s="60">
        <f>VLOOKUP(A5,Insumos,4)</f>
        <v>233.3333</v>
      </c>
      <c r="F5" s="79">
        <f>(D5*E5)</f>
        <v>1.9133330599999998</v>
      </c>
    </row>
    <row r="6" spans="1:6" ht="12.75">
      <c r="A6" s="3" t="s">
        <v>346</v>
      </c>
      <c r="B6" s="4" t="str">
        <f>VLOOKUP(A6,Insumos,2)</f>
        <v>pintura asfáltica secado rapido</v>
      </c>
      <c r="C6" s="6" t="str">
        <f>VLOOKUP(A6,Insumos,3)</f>
        <v>l</v>
      </c>
      <c r="D6" s="60">
        <v>0.07</v>
      </c>
      <c r="E6" s="60">
        <f>VLOOKUP(A6,Insumos,4)</f>
        <v>9.843</v>
      </c>
      <c r="F6" s="79">
        <f>(D6*E6)</f>
        <v>0.68901</v>
      </c>
    </row>
    <row r="7" spans="1:6" ht="12.75">
      <c r="A7" s="3" t="s">
        <v>846</v>
      </c>
      <c r="B7" s="4" t="str">
        <f>VLOOKUP(A7,Insumos,2)</f>
        <v>madera 1" pino nacional s/cepillar</v>
      </c>
      <c r="C7" s="6" t="str">
        <f>VLOOKUP(A7,Insumos,3)</f>
        <v>m2</v>
      </c>
      <c r="D7" s="60">
        <v>0.0822</v>
      </c>
      <c r="E7" s="60">
        <f>VLOOKUP(A7,Insumos,4)</f>
        <v>33.735</v>
      </c>
      <c r="F7" s="79">
        <f>(D7*E7)</f>
        <v>2.773017</v>
      </c>
    </row>
    <row r="8" spans="1:6" ht="12.75">
      <c r="A8" s="94" t="s">
        <v>1074</v>
      </c>
      <c r="D8" s="60"/>
      <c r="E8" s="60"/>
      <c r="F8" s="79"/>
    </row>
    <row r="9" spans="1:6" ht="12.75">
      <c r="A9" s="3" t="s">
        <v>289</v>
      </c>
      <c r="B9" s="4" t="str">
        <f>VLOOKUP(A9,Insumos,2)</f>
        <v>cuadrilla tipo UOCRA</v>
      </c>
      <c r="C9" s="6" t="str">
        <f>VLOOKUP(A9,Insumos,3)</f>
        <v>h</v>
      </c>
      <c r="D9" s="60">
        <v>0.3</v>
      </c>
      <c r="E9" s="60">
        <f>VLOOKUP(A9,Insumos,4)</f>
        <v>21.86</v>
      </c>
      <c r="F9" s="79">
        <f>(D9*E9)</f>
        <v>6.558</v>
      </c>
    </row>
    <row r="10" spans="1:6" ht="13.5" thickBot="1">
      <c r="A10" s="3"/>
      <c r="B10" s="4"/>
      <c r="C10" s="90"/>
      <c r="D10" s="60"/>
      <c r="E10" s="60"/>
      <c r="F10" s="79"/>
    </row>
    <row r="11" spans="1:7" ht="13.5" thickTop="1">
      <c r="A11" s="87" t="s">
        <v>1069</v>
      </c>
      <c r="B11" s="8" t="s">
        <v>559</v>
      </c>
      <c r="C11" s="89" t="str">
        <f>Fecha</f>
        <v>JUN/10</v>
      </c>
      <c r="D11" s="57"/>
      <c r="E11" s="57"/>
      <c r="F11" s="77">
        <f>SUM(F14:F18)</f>
        <v>89.77964</v>
      </c>
      <c r="G11" s="50"/>
    </row>
    <row r="12" spans="1:7" ht="13.5" thickBot="1">
      <c r="A12" s="7" t="s">
        <v>1068</v>
      </c>
      <c r="B12" s="7" t="s">
        <v>448</v>
      </c>
      <c r="C12" s="90" t="s">
        <v>1067</v>
      </c>
      <c r="D12" s="58" t="s">
        <v>718</v>
      </c>
      <c r="E12" s="59"/>
      <c r="F12" s="78"/>
      <c r="G12" s="51" t="s">
        <v>882</v>
      </c>
    </row>
    <row r="13" spans="1:6" ht="13.5" thickTop="1">
      <c r="A13" s="94" t="s">
        <v>1073</v>
      </c>
      <c r="D13" s="60"/>
      <c r="E13" s="60"/>
      <c r="F13" s="79"/>
    </row>
    <row r="14" spans="1:6" ht="12.75">
      <c r="A14" s="3" t="s">
        <v>292</v>
      </c>
      <c r="B14" s="4" t="str">
        <f>VLOOKUP(A14,Insumos,2)</f>
        <v>cemento Portland</v>
      </c>
      <c r="C14" s="6" t="str">
        <f>VLOOKUP(A14,Insumos,3)</f>
        <v>kg</v>
      </c>
      <c r="D14" s="60">
        <f>+D16*250*2</f>
        <v>46.800000000000004</v>
      </c>
      <c r="E14" s="60">
        <f>VLOOKUP(A14,Insumos,4)</f>
        <v>0.4787</v>
      </c>
      <c r="F14" s="79">
        <f>(D14*E14)</f>
        <v>22.403160000000003</v>
      </c>
    </row>
    <row r="15" spans="1:6" ht="12.75">
      <c r="A15" s="3" t="s">
        <v>291</v>
      </c>
      <c r="B15" s="4" t="str">
        <f>VLOOKUP(A15,Insumos,2)</f>
        <v>hierro mejorado de 10 mm.</v>
      </c>
      <c r="C15" s="6" t="str">
        <f>VLOOKUP(A15,Insumos,3)</f>
        <v>kg</v>
      </c>
      <c r="D15" s="60">
        <f>0.2*2</f>
        <v>0.4</v>
      </c>
      <c r="E15" s="60">
        <f>VLOOKUP(A15,Insumos,4)</f>
        <v>4.1892</v>
      </c>
      <c r="F15" s="79">
        <f>(D15*E15)</f>
        <v>1.6756799999999998</v>
      </c>
    </row>
    <row r="16" spans="1:6" ht="12.75">
      <c r="A16" s="3" t="s">
        <v>304</v>
      </c>
      <c r="B16" s="4" t="str">
        <f>VLOOKUP(A16,Insumos,2)</f>
        <v>ripiosa</v>
      </c>
      <c r="C16" s="6" t="str">
        <f>VLOOKUP(A16,Insumos,3)</f>
        <v>m3</v>
      </c>
      <c r="D16" s="60">
        <f>0.0468*2</f>
        <v>0.0936</v>
      </c>
      <c r="E16" s="60">
        <f>VLOOKUP(A16,Insumos,4)</f>
        <v>48</v>
      </c>
      <c r="F16" s="79">
        <f>(D16*E16)</f>
        <v>4.4928</v>
      </c>
    </row>
    <row r="17" spans="1:6" ht="12.75">
      <c r="A17" s="94" t="s">
        <v>1074</v>
      </c>
      <c r="D17" s="60"/>
      <c r="E17" s="60"/>
      <c r="F17" s="79"/>
    </row>
    <row r="18" spans="1:6" ht="12.75">
      <c r="A18" s="3" t="s">
        <v>289</v>
      </c>
      <c r="B18" s="4" t="str">
        <f>VLOOKUP(A18,Insumos,2)</f>
        <v>cuadrilla tipo UOCRA</v>
      </c>
      <c r="C18" s="6" t="str">
        <f>VLOOKUP(A18,Insumos,3)</f>
        <v>h</v>
      </c>
      <c r="D18" s="60">
        <f>1.4*2</f>
        <v>2.8</v>
      </c>
      <c r="E18" s="60">
        <f>VLOOKUP(A18,Insumos,4)</f>
        <v>21.86</v>
      </c>
      <c r="F18" s="79">
        <f>(D18*E18)</f>
        <v>61.20799999999999</v>
      </c>
    </row>
    <row r="19" spans="1:6" ht="13.5" thickBot="1">
      <c r="A19" s="3"/>
      <c r="B19" s="4"/>
      <c r="C19" s="6"/>
      <c r="D19" s="60"/>
      <c r="E19" s="60"/>
      <c r="F19" s="79"/>
    </row>
    <row r="20" spans="1:7" ht="13.5" thickTop="1">
      <c r="A20" s="87" t="s">
        <v>1069</v>
      </c>
      <c r="B20" s="8" t="s">
        <v>719</v>
      </c>
      <c r="C20" s="89" t="str">
        <f>Fecha</f>
        <v>JUN/10</v>
      </c>
      <c r="D20" s="57"/>
      <c r="E20" s="57"/>
      <c r="F20" s="77">
        <f>SUM(F23:F36)</f>
        <v>127.29110620000002</v>
      </c>
      <c r="G20" s="50"/>
    </row>
    <row r="21" spans="1:7" ht="13.5" thickBot="1">
      <c r="A21" s="7" t="s">
        <v>1068</v>
      </c>
      <c r="B21" s="7" t="s">
        <v>448</v>
      </c>
      <c r="C21" s="90" t="s">
        <v>1067</v>
      </c>
      <c r="D21" s="58" t="s">
        <v>449</v>
      </c>
      <c r="E21" s="59"/>
      <c r="F21" s="78"/>
      <c r="G21" s="51" t="s">
        <v>475</v>
      </c>
    </row>
    <row r="22" spans="1:6" ht="13.5" thickTop="1">
      <c r="A22" s="94" t="s">
        <v>1073</v>
      </c>
      <c r="D22" s="60"/>
      <c r="E22" s="60"/>
      <c r="F22" s="79"/>
    </row>
    <row r="23" spans="1:6" ht="12.75">
      <c r="A23" s="3" t="s">
        <v>292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60">
        <v>36.67</v>
      </c>
      <c r="E23" s="60">
        <f aca="true" t="shared" si="2" ref="E23:E32">VLOOKUP(A23,Insumos,4)</f>
        <v>0.4787</v>
      </c>
      <c r="F23" s="79">
        <f aca="true" t="shared" si="3" ref="F23:F32">(D23*E23)</f>
        <v>17.553929</v>
      </c>
    </row>
    <row r="24" spans="1:6" ht="12.75">
      <c r="A24" s="3" t="s">
        <v>293</v>
      </c>
      <c r="B24" s="4" t="str">
        <f t="shared" si="0"/>
        <v>ripio zarandeado 1/3</v>
      </c>
      <c r="C24" s="6" t="str">
        <f t="shared" si="1"/>
        <v>m3</v>
      </c>
      <c r="D24" s="60">
        <v>0.103</v>
      </c>
      <c r="E24" s="60">
        <f t="shared" si="2"/>
        <v>45.5</v>
      </c>
      <c r="F24" s="79">
        <f t="shared" si="3"/>
        <v>4.6865</v>
      </c>
    </row>
    <row r="25" spans="1:6" ht="12.75">
      <c r="A25" s="3" t="s">
        <v>294</v>
      </c>
      <c r="B25" s="4" t="str">
        <f t="shared" si="0"/>
        <v>arena gruesa</v>
      </c>
      <c r="C25" s="6" t="str">
        <f t="shared" si="1"/>
        <v>m3</v>
      </c>
      <c r="D25" s="60">
        <v>0.088</v>
      </c>
      <c r="E25" s="60">
        <f t="shared" si="2"/>
        <v>51</v>
      </c>
      <c r="F25" s="79">
        <f t="shared" si="3"/>
        <v>4.4879999999999995</v>
      </c>
    </row>
    <row r="26" spans="1:6" ht="12.75">
      <c r="A26" s="3" t="s">
        <v>450</v>
      </c>
      <c r="B26" s="4" t="str">
        <f t="shared" si="0"/>
        <v>alambre romboidal 150x50x14</v>
      </c>
      <c r="C26" s="6" t="str">
        <f t="shared" si="1"/>
        <v>m</v>
      </c>
      <c r="D26" s="60">
        <v>1</v>
      </c>
      <c r="E26" s="60">
        <f t="shared" si="2"/>
        <v>12.7893</v>
      </c>
      <c r="F26" s="79">
        <f t="shared" si="3"/>
        <v>12.7893</v>
      </c>
    </row>
    <row r="27" spans="1:6" ht="12.75">
      <c r="A27" s="3" t="s">
        <v>451</v>
      </c>
      <c r="B27" s="4" t="str">
        <f t="shared" si="0"/>
        <v>alambre galvaniz. 16/14</v>
      </c>
      <c r="C27" s="6" t="str">
        <f t="shared" si="1"/>
        <v>m</v>
      </c>
      <c r="D27" s="60">
        <v>2</v>
      </c>
      <c r="E27" s="60">
        <f t="shared" si="2"/>
        <v>0.326</v>
      </c>
      <c r="F27" s="79">
        <f t="shared" si="3"/>
        <v>0.652</v>
      </c>
    </row>
    <row r="28" spans="1:6" ht="12.75">
      <c r="A28" s="3" t="s">
        <v>345</v>
      </c>
      <c r="B28" s="4" t="str">
        <f t="shared" si="0"/>
        <v>alambre de puas x 500 m.</v>
      </c>
      <c r="C28" s="6" t="str">
        <f t="shared" si="1"/>
        <v>rollo</v>
      </c>
      <c r="D28" s="60">
        <v>0.006</v>
      </c>
      <c r="E28" s="60">
        <f t="shared" si="2"/>
        <v>233.3333</v>
      </c>
      <c r="F28" s="79">
        <f t="shared" si="3"/>
        <v>1.3999998</v>
      </c>
    </row>
    <row r="29" spans="1:6" ht="12.75">
      <c r="A29" s="3" t="s">
        <v>452</v>
      </c>
      <c r="B29" s="4" t="str">
        <f t="shared" si="0"/>
        <v>gancho p/alambre tejido 3/8"x200 mm</v>
      </c>
      <c r="C29" s="6" t="str">
        <f t="shared" si="1"/>
        <v>u</v>
      </c>
      <c r="D29" s="60">
        <v>1</v>
      </c>
      <c r="E29" s="60">
        <f t="shared" si="2"/>
        <v>1.9834</v>
      </c>
      <c r="F29" s="79">
        <f t="shared" si="3"/>
        <v>1.9834</v>
      </c>
    </row>
    <row r="30" spans="1:6" ht="12.75">
      <c r="A30" s="3" t="s">
        <v>453</v>
      </c>
      <c r="B30" s="4" t="str">
        <f t="shared" si="0"/>
        <v>hierro planchuela 1/2"x1/8"</v>
      </c>
      <c r="C30" s="6" t="str">
        <f t="shared" si="1"/>
        <v>m</v>
      </c>
      <c r="D30" s="60">
        <v>1</v>
      </c>
      <c r="E30" s="60">
        <f t="shared" si="2"/>
        <v>2.0032</v>
      </c>
      <c r="F30" s="79">
        <f t="shared" si="3"/>
        <v>2.0032</v>
      </c>
    </row>
    <row r="31" spans="1:6" ht="12.75">
      <c r="A31" s="3" t="s">
        <v>454</v>
      </c>
      <c r="B31" s="4" t="str">
        <f t="shared" si="0"/>
        <v>poste esquinero x 3,05 m</v>
      </c>
      <c r="C31" s="6" t="str">
        <f t="shared" si="1"/>
        <v>u</v>
      </c>
      <c r="D31" s="60">
        <v>0.013</v>
      </c>
      <c r="E31" s="60">
        <f t="shared" si="2"/>
        <v>92.5868</v>
      </c>
      <c r="F31" s="79">
        <f t="shared" si="3"/>
        <v>1.2036284</v>
      </c>
    </row>
    <row r="32" spans="1:6" ht="12.75">
      <c r="A32" s="3" t="s">
        <v>455</v>
      </c>
      <c r="B32" s="4" t="str">
        <f t="shared" si="0"/>
        <v>poste intermedio x 3,05 m</v>
      </c>
      <c r="C32" s="6" t="str">
        <f t="shared" si="1"/>
        <v>u</v>
      </c>
      <c r="D32" s="60">
        <v>0.33</v>
      </c>
      <c r="E32" s="60">
        <f t="shared" si="2"/>
        <v>57.2153</v>
      </c>
      <c r="F32" s="79">
        <f t="shared" si="3"/>
        <v>18.881049</v>
      </c>
    </row>
    <row r="33" spans="1:6" ht="12.75">
      <c r="A33" s="94" t="s">
        <v>1074</v>
      </c>
      <c r="D33" s="60"/>
      <c r="E33" s="60"/>
      <c r="F33" s="79"/>
    </row>
    <row r="34" spans="1:6" ht="12.75">
      <c r="A34" s="3" t="s">
        <v>289</v>
      </c>
      <c r="B34" s="4" t="str">
        <f>VLOOKUP(A34,Insumos,2)</f>
        <v>cuadrilla tipo UOCRA</v>
      </c>
      <c r="C34" s="6" t="str">
        <f>VLOOKUP(A34,Insumos,3)</f>
        <v>h</v>
      </c>
      <c r="D34" s="60">
        <v>2.7</v>
      </c>
      <c r="E34" s="60">
        <f>VLOOKUP(A34,Insumos,4)</f>
        <v>21.86</v>
      </c>
      <c r="F34" s="79">
        <f>(D34*E34)</f>
        <v>59.022000000000006</v>
      </c>
    </row>
    <row r="35" spans="1:6" ht="12.75">
      <c r="A35" s="96" t="s">
        <v>1075</v>
      </c>
      <c r="B35" s="4"/>
      <c r="C35" s="6"/>
      <c r="D35" s="60"/>
      <c r="E35" s="60"/>
      <c r="F35" s="79"/>
    </row>
    <row r="36" spans="1:6" ht="12.75">
      <c r="A36" s="3" t="s">
        <v>295</v>
      </c>
      <c r="B36" s="4" t="str">
        <f>VLOOKUP(A36,Insumos,2)</f>
        <v>canasta 2 (mixer 5m3)</v>
      </c>
      <c r="C36" s="6" t="str">
        <f>VLOOKUP(A36,Insumos,3)</f>
        <v>h</v>
      </c>
      <c r="D36" s="60">
        <v>0.01</v>
      </c>
      <c r="E36" s="60">
        <f>VLOOKUP(A36,Insumos,4)</f>
        <v>262.81</v>
      </c>
      <c r="F36" s="79">
        <f>(D36*E36)</f>
        <v>2.6281</v>
      </c>
    </row>
    <row r="37" spans="1:6" ht="13.5" thickBot="1">
      <c r="A37" s="3"/>
      <c r="B37" s="4"/>
      <c r="C37" s="6"/>
      <c r="D37" s="60"/>
      <c r="E37" s="60"/>
      <c r="F37" s="79"/>
    </row>
    <row r="38" spans="1:7" ht="13.5" thickTop="1">
      <c r="A38" s="87" t="s">
        <v>1069</v>
      </c>
      <c r="B38" s="8" t="s">
        <v>720</v>
      </c>
      <c r="C38" s="89" t="str">
        <f>Fecha</f>
        <v>JUN/10</v>
      </c>
      <c r="D38" s="57"/>
      <c r="E38" s="57"/>
      <c r="F38" s="77">
        <f>SUM(F41:F46)</f>
        <v>448.53638000000007</v>
      </c>
      <c r="G38" s="50"/>
    </row>
    <row r="39" spans="1:7" ht="13.5" thickBot="1">
      <c r="A39" s="7" t="s">
        <v>1068</v>
      </c>
      <c r="B39" s="7" t="s">
        <v>448</v>
      </c>
      <c r="C39" s="90" t="s">
        <v>1067</v>
      </c>
      <c r="D39" s="58" t="s">
        <v>561</v>
      </c>
      <c r="E39" s="59"/>
      <c r="F39" s="78"/>
      <c r="G39" s="51" t="s">
        <v>1070</v>
      </c>
    </row>
    <row r="40" spans="1:6" ht="13.5" thickTop="1">
      <c r="A40" s="94" t="s">
        <v>1073</v>
      </c>
      <c r="D40" s="60"/>
      <c r="E40" s="60"/>
      <c r="F40" s="79"/>
    </row>
    <row r="41" spans="1:6" ht="12.75">
      <c r="A41" s="3" t="s">
        <v>329</v>
      </c>
      <c r="B41" s="4" t="str">
        <f>VLOOKUP(A41,'IN-06-10'!$A$5:$D$440,2)</f>
        <v>bacha simple acero inox. 52 x 32x18</v>
      </c>
      <c r="C41" s="4" t="str">
        <f>VLOOKUP(A41,'IN-06-10'!$A$5:$D$440,3)</f>
        <v>u</v>
      </c>
      <c r="D41" s="60">
        <v>1</v>
      </c>
      <c r="E41" s="105">
        <f>VLOOKUP(A41,'IN-06-10'!$A$5:$D$440,4)</f>
        <v>72.5217</v>
      </c>
      <c r="F41" s="79">
        <f>(D41*E41)</f>
        <v>72.5217</v>
      </c>
    </row>
    <row r="42" spans="1:6" ht="12.75">
      <c r="A42" s="3" t="s">
        <v>328</v>
      </c>
      <c r="B42" s="4" t="str">
        <f>VLOOKUP(A42,'IN-06-10'!$A$5:$D$440,2)</f>
        <v>mesada granito reconst. 4 cm. de espesor</v>
      </c>
      <c r="C42" s="4" t="str">
        <f>VLOOKUP(A42,'IN-06-10'!$A$5:$D$440,3)</f>
        <v>m2</v>
      </c>
      <c r="D42" s="60">
        <v>1.2</v>
      </c>
      <c r="E42" s="105">
        <f>VLOOKUP(A42,'IN-06-10'!$A$5:$D$440,4)</f>
        <v>218.9669</v>
      </c>
      <c r="F42" s="79">
        <f>(D42*E42)</f>
        <v>262.76028</v>
      </c>
    </row>
    <row r="43" spans="1:6" ht="12.75">
      <c r="A43" s="94" t="s">
        <v>1074</v>
      </c>
      <c r="D43" s="60"/>
      <c r="E43" s="60"/>
      <c r="F43" s="79"/>
    </row>
    <row r="44" spans="1:6" ht="12.75">
      <c r="A44" s="3" t="s">
        <v>289</v>
      </c>
      <c r="B44" s="4" t="str">
        <f>VLOOKUP(A44,Insumos,2)</f>
        <v>cuadrilla tipo UOCRA</v>
      </c>
      <c r="C44" s="6" t="str">
        <f>VLOOKUP(A44,Insumos,3)</f>
        <v>h</v>
      </c>
      <c r="D44" s="60">
        <f>2.7+2</f>
        <v>4.7</v>
      </c>
      <c r="E44" s="60">
        <f>VLOOKUP(A44,Insumos,4)</f>
        <v>21.86</v>
      </c>
      <c r="F44" s="79">
        <f>(D44*E44)</f>
        <v>102.742</v>
      </c>
    </row>
    <row r="45" spans="1:6" ht="12.75">
      <c r="A45" s="96" t="s">
        <v>1075</v>
      </c>
      <c r="B45" s="4"/>
      <c r="C45" s="6"/>
      <c r="D45" s="60"/>
      <c r="E45" s="60"/>
      <c r="F45" s="79"/>
    </row>
    <row r="46" spans="1:6" ht="12.75">
      <c r="A46" s="3" t="s">
        <v>295</v>
      </c>
      <c r="B46" s="4" t="str">
        <f>VLOOKUP(A46,Insumos,2)</f>
        <v>canasta 2 (mixer 5m3)</v>
      </c>
      <c r="C46" s="6" t="str">
        <f>VLOOKUP(A46,Insumos,3)</f>
        <v>h</v>
      </c>
      <c r="D46" s="60">
        <v>0.04</v>
      </c>
      <c r="E46" s="60">
        <f>VLOOKUP(A46,Insumos,4)</f>
        <v>262.81</v>
      </c>
      <c r="F46" s="79">
        <f>(D46*E46)</f>
        <v>10.5124</v>
      </c>
    </row>
    <row r="47" ht="13.5" thickBot="1"/>
    <row r="48" spans="1:7" ht="13.5" thickTop="1">
      <c r="A48" s="87" t="s">
        <v>1069</v>
      </c>
      <c r="B48" s="8" t="s">
        <v>721</v>
      </c>
      <c r="C48" s="89" t="str">
        <f>Fecha</f>
        <v>JUN/10</v>
      </c>
      <c r="D48" s="57"/>
      <c r="E48" s="57"/>
      <c r="F48" s="77">
        <f>SUM(F51:F55)</f>
        <v>40.134550000000004</v>
      </c>
      <c r="G48" s="50"/>
    </row>
    <row r="49" spans="1:7" ht="13.5" thickBot="1">
      <c r="A49" s="7" t="s">
        <v>1068</v>
      </c>
      <c r="B49" s="7" t="s">
        <v>448</v>
      </c>
      <c r="C49" s="90" t="s">
        <v>1067</v>
      </c>
      <c r="D49" s="58" t="s">
        <v>722</v>
      </c>
      <c r="E49" s="59"/>
      <c r="F49" s="78"/>
      <c r="G49" s="51" t="s">
        <v>1070</v>
      </c>
    </row>
    <row r="50" spans="1:6" ht="13.5" thickTop="1">
      <c r="A50" s="94" t="s">
        <v>1073</v>
      </c>
      <c r="D50" s="60"/>
      <c r="E50" s="60"/>
      <c r="F50" s="79"/>
    </row>
    <row r="51" spans="1:6" ht="12.75">
      <c r="A51" s="3" t="s">
        <v>895</v>
      </c>
      <c r="B51" s="4" t="str">
        <f>VLOOKUP(A51,Insumos,2)</f>
        <v>mantillo</v>
      </c>
      <c r="C51" s="6" t="str">
        <f>VLOOKUP(A51,Insumos,3)</f>
        <v>bolsa</v>
      </c>
      <c r="D51" s="60">
        <v>0.5</v>
      </c>
      <c r="E51" s="60">
        <f>VLOOKUP(A51,Insumos,4)</f>
        <v>5.5165</v>
      </c>
      <c r="F51" s="79">
        <f>(D51*E51)</f>
        <v>2.75825</v>
      </c>
    </row>
    <row r="52" spans="1:6" ht="12.75">
      <c r="A52" s="3" t="s">
        <v>894</v>
      </c>
      <c r="B52" s="4" t="str">
        <f>VLOOKUP(A52,Insumos,2)</f>
        <v>árboles para forestación - fresno</v>
      </c>
      <c r="C52" s="6" t="str">
        <f>VLOOKUP(A52,Insumos,3)</f>
        <v>u</v>
      </c>
      <c r="D52" s="60">
        <v>1</v>
      </c>
      <c r="E52" s="60">
        <f>VLOOKUP(A52,Insumos,4)</f>
        <v>26.4463</v>
      </c>
      <c r="F52" s="79">
        <f>(D52*E52)</f>
        <v>26.4463</v>
      </c>
    </row>
    <row r="53" spans="1:6" ht="12.75">
      <c r="A53" s="94" t="s">
        <v>1074</v>
      </c>
      <c r="D53" s="60"/>
      <c r="E53" s="60"/>
      <c r="F53" s="79"/>
    </row>
    <row r="54" spans="1:6" ht="12.75">
      <c r="A54" s="3" t="s">
        <v>289</v>
      </c>
      <c r="B54" s="4" t="str">
        <f>VLOOKUP(A54,Insumos,2)</f>
        <v>cuadrilla tipo UOCRA</v>
      </c>
      <c r="C54" s="6" t="str">
        <f>VLOOKUP(A54,Insumos,3)</f>
        <v>h</v>
      </c>
      <c r="D54" s="60">
        <v>0.5</v>
      </c>
      <c r="E54" s="60">
        <f>VLOOKUP(A54,Insumos,4)</f>
        <v>21.86</v>
      </c>
      <c r="F54" s="79">
        <f>(D54*E54)</f>
        <v>10.93</v>
      </c>
    </row>
    <row r="55" spans="1:6" ht="12.75">
      <c r="A55" s="96" t="s">
        <v>1075</v>
      </c>
      <c r="B55" s="4"/>
      <c r="C55" s="6"/>
      <c r="D55" s="60"/>
      <c r="E55" s="60"/>
      <c r="F55" s="79"/>
    </row>
    <row r="56" spans="1:6" ht="13.5" thickBot="1">
      <c r="A56" s="3"/>
      <c r="B56" s="4"/>
      <c r="C56" s="6"/>
      <c r="D56" s="60"/>
      <c r="E56" s="60"/>
      <c r="F56" s="79"/>
    </row>
    <row r="57" spans="1:7" ht="13.5" thickTop="1">
      <c r="A57" s="87" t="s">
        <v>1069</v>
      </c>
      <c r="B57" s="8" t="s">
        <v>723</v>
      </c>
      <c r="C57" s="89" t="str">
        <f>Fecha</f>
        <v>JUN/10</v>
      </c>
      <c r="D57" s="57"/>
      <c r="E57" s="57"/>
      <c r="F57" s="77">
        <f>SUM(F60:F64)</f>
        <v>734.6143999999999</v>
      </c>
      <c r="G57" s="50"/>
    </row>
    <row r="58" spans="1:7" ht="13.5" thickBot="1">
      <c r="A58" s="7" t="s">
        <v>1068</v>
      </c>
      <c r="B58" s="7" t="s">
        <v>448</v>
      </c>
      <c r="C58" s="90" t="s">
        <v>1067</v>
      </c>
      <c r="D58" s="58" t="s">
        <v>724</v>
      </c>
      <c r="E58" s="59"/>
      <c r="F58" s="78"/>
      <c r="G58" s="51" t="s">
        <v>1070</v>
      </c>
    </row>
    <row r="59" spans="1:6" ht="13.5" thickTop="1">
      <c r="A59" s="94" t="s">
        <v>1073</v>
      </c>
      <c r="D59" s="60"/>
      <c r="E59" s="60"/>
      <c r="F59" s="79"/>
    </row>
    <row r="60" spans="1:6" ht="12.75">
      <c r="A60" s="3" t="s">
        <v>749</v>
      </c>
      <c r="B60" s="4" t="str">
        <f>VLOOKUP(A60,Insumos,2)</f>
        <v>caño estructural redondo 3" x 1,6 x 6mt.</v>
      </c>
      <c r="C60" s="6" t="str">
        <f>VLOOKUP(A60,Insumos,3)</f>
        <v>m</v>
      </c>
      <c r="D60" s="60">
        <v>34</v>
      </c>
      <c r="E60" s="60">
        <f>VLOOKUP(A60,Insumos,4)</f>
        <v>18.3916</v>
      </c>
      <c r="F60" s="79">
        <f>(D60*E60)</f>
        <v>625.3144</v>
      </c>
    </row>
    <row r="61" spans="1:6" ht="12.75">
      <c r="A61" s="3"/>
      <c r="B61" s="4"/>
      <c r="C61" s="6"/>
      <c r="D61" s="60"/>
      <c r="E61" s="60"/>
      <c r="F61" s="79"/>
    </row>
    <row r="62" spans="1:6" ht="12.75">
      <c r="A62" s="94" t="s">
        <v>1074</v>
      </c>
      <c r="D62" s="60"/>
      <c r="E62" s="60"/>
      <c r="F62" s="79"/>
    </row>
    <row r="63" spans="1:6" ht="12.75">
      <c r="A63" s="3" t="s">
        <v>289</v>
      </c>
      <c r="B63" s="4" t="str">
        <f>VLOOKUP(A63,Insumos,2)</f>
        <v>cuadrilla tipo UOCRA</v>
      </c>
      <c r="C63" s="6" t="str">
        <f>VLOOKUP(A63,Insumos,3)</f>
        <v>h</v>
      </c>
      <c r="D63" s="60">
        <v>5</v>
      </c>
      <c r="E63" s="60">
        <f>VLOOKUP(A63,Insumos,4)</f>
        <v>21.86</v>
      </c>
      <c r="F63" s="79">
        <f>(D63*E63)</f>
        <v>109.3</v>
      </c>
    </row>
    <row r="64" spans="1:6" ht="12.75">
      <c r="A64" s="96" t="s">
        <v>1075</v>
      </c>
      <c r="B64" s="4"/>
      <c r="C64" s="6"/>
      <c r="D64" s="60"/>
      <c r="E64" s="60"/>
      <c r="F64" s="79"/>
    </row>
    <row r="65" spans="1:6" ht="13.5" thickBot="1">
      <c r="A65" s="3"/>
      <c r="B65" s="4"/>
      <c r="C65" s="6"/>
      <c r="D65" s="60"/>
      <c r="E65" s="60"/>
      <c r="F65" s="79"/>
    </row>
    <row r="66" spans="1:7" ht="13.5" thickTop="1">
      <c r="A66" s="87" t="s">
        <v>1069</v>
      </c>
      <c r="B66" s="8" t="s">
        <v>897</v>
      </c>
      <c r="C66" s="89" t="str">
        <f>Fecha</f>
        <v>JUN/10</v>
      </c>
      <c r="D66" s="57"/>
      <c r="E66" s="57"/>
      <c r="F66" s="77">
        <f>SUM(F69:F71)</f>
        <v>3.3510400000000002</v>
      </c>
      <c r="G66" s="50"/>
    </row>
    <row r="67" spans="1:7" ht="13.5" thickBot="1">
      <c r="A67" s="7" t="s">
        <v>1068</v>
      </c>
      <c r="B67" s="7" t="s">
        <v>448</v>
      </c>
      <c r="C67" s="90" t="s">
        <v>1067</v>
      </c>
      <c r="D67" s="58" t="s">
        <v>581</v>
      </c>
      <c r="E67" s="59"/>
      <c r="F67" s="78"/>
      <c r="G67" s="51" t="s">
        <v>602</v>
      </c>
    </row>
    <row r="68" spans="1:6" ht="13.5" thickTop="1">
      <c r="A68" s="94" t="s">
        <v>1074</v>
      </c>
      <c r="D68" s="60"/>
      <c r="E68" s="60"/>
      <c r="F68" s="79"/>
    </row>
    <row r="69" spans="1:6" ht="12.75">
      <c r="A69" s="3" t="s">
        <v>289</v>
      </c>
      <c r="B69" s="4" t="str">
        <f>VLOOKUP(A69,Insumos,2)</f>
        <v>cuadrilla tipo UOCRA</v>
      </c>
      <c r="C69" s="6" t="str">
        <f>VLOOKUP(A69,Insumos,3)</f>
        <v>h</v>
      </c>
      <c r="D69" s="60">
        <v>0.064</v>
      </c>
      <c r="E69" s="60">
        <f>VLOOKUP(A69,Insumos,4)</f>
        <v>21.86</v>
      </c>
      <c r="F69" s="79">
        <f>(D69*E69)</f>
        <v>1.39904</v>
      </c>
    </row>
    <row r="70" spans="1:6" ht="12.75">
      <c r="A70" s="94" t="s">
        <v>1075</v>
      </c>
      <c r="D70" s="60"/>
      <c r="E70" s="60"/>
      <c r="F70" s="79"/>
    </row>
    <row r="71" spans="1:6" ht="12.75">
      <c r="A71" s="3" t="s">
        <v>290</v>
      </c>
      <c r="B71" s="4" t="str">
        <f>VLOOKUP(A71,Insumos,2)</f>
        <v>canasta 1 (camión volcador)</v>
      </c>
      <c r="C71" s="6" t="str">
        <f>VLOOKUP(A71,Insumos,3)</f>
        <v>h</v>
      </c>
      <c r="D71" s="60">
        <v>0.01</v>
      </c>
      <c r="E71" s="60">
        <f>VLOOKUP(A71,Insumos,4)</f>
        <v>195.2</v>
      </c>
      <c r="F71" s="79">
        <f>(D71*E71)</f>
        <v>1.952</v>
      </c>
    </row>
    <row r="72" ht="13.5" thickBot="1"/>
    <row r="73" spans="1:7" ht="13.5" thickTop="1">
      <c r="A73" s="87" t="s">
        <v>1069</v>
      </c>
      <c r="B73" s="39" t="s">
        <v>1050</v>
      </c>
      <c r="C73" s="89" t="str">
        <f>Fecha</f>
        <v>JUN/10</v>
      </c>
      <c r="D73" s="57"/>
      <c r="E73" s="57"/>
      <c r="F73" s="77">
        <f>SUM(F76:F79)</f>
        <v>2319.4719999999998</v>
      </c>
      <c r="G73" s="50"/>
    </row>
    <row r="74" spans="1:7" ht="13.5" thickBot="1">
      <c r="A74" s="7" t="s">
        <v>1068</v>
      </c>
      <c r="B74" s="7" t="s">
        <v>448</v>
      </c>
      <c r="C74" s="90" t="s">
        <v>1067</v>
      </c>
      <c r="D74" s="58" t="s">
        <v>1056</v>
      </c>
      <c r="E74" s="59"/>
      <c r="F74" s="78"/>
      <c r="G74" s="51" t="s">
        <v>882</v>
      </c>
    </row>
    <row r="75" spans="1:6" ht="13.5" thickTop="1">
      <c r="A75" s="94" t="s">
        <v>1073</v>
      </c>
      <c r="D75" s="60"/>
      <c r="E75" s="60"/>
      <c r="F75" s="79"/>
    </row>
    <row r="76" spans="1:6" ht="12.75">
      <c r="A76" s="3" t="s">
        <v>1057</v>
      </c>
      <c r="B76" s="4" t="str">
        <f>VLOOKUP(A76,Insumos,2)</f>
        <v>derechos de aprobación C.Profes.</v>
      </c>
      <c r="C76" s="6" t="str">
        <f>VLOOKUP(A76,Insumos,3)</f>
        <v>u</v>
      </c>
      <c r="D76" s="60">
        <v>1.9056</v>
      </c>
      <c r="E76" s="60">
        <f>VLOOKUP(A76,Insumos,4)</f>
        <v>120</v>
      </c>
      <c r="F76" s="79">
        <f>(D76*E76)</f>
        <v>228.672</v>
      </c>
    </row>
    <row r="77" spans="1:6" ht="12.75">
      <c r="A77" s="3" t="s">
        <v>1058</v>
      </c>
      <c r="B77" s="4" t="str">
        <f>VLOOKUP(A77,Insumos,2)</f>
        <v>copia xerox de planos </v>
      </c>
      <c r="C77" s="6" t="str">
        <f>VLOOKUP(A77,Insumos,3)</f>
        <v>m2</v>
      </c>
      <c r="D77" s="60">
        <v>36</v>
      </c>
      <c r="E77" s="60">
        <f>VLOOKUP(A77,Insumos,4)</f>
        <v>9.5</v>
      </c>
      <c r="F77" s="79">
        <f>(D77*E77)</f>
        <v>342</v>
      </c>
    </row>
    <row r="78" spans="1:6" ht="12.75">
      <c r="A78" s="94" t="s">
        <v>1074</v>
      </c>
      <c r="D78" s="60"/>
      <c r="E78" s="60"/>
      <c r="F78" s="79"/>
    </row>
    <row r="79" spans="1:6" ht="12.75">
      <c r="A79" s="3" t="s">
        <v>289</v>
      </c>
      <c r="B79" s="4" t="str">
        <f>VLOOKUP(A79,Insumos,2)</f>
        <v>cuadrilla tipo UOCRA</v>
      </c>
      <c r="C79" s="6" t="str">
        <f>VLOOKUP(A79,Insumos,3)</f>
        <v>h</v>
      </c>
      <c r="D79" s="60">
        <v>80</v>
      </c>
      <c r="E79" s="60">
        <f>VLOOKUP(A79,Insumos,4)</f>
        <v>21.86</v>
      </c>
      <c r="F79" s="79">
        <f>(D79*E79)</f>
        <v>1748.8</v>
      </c>
    </row>
    <row r="80" spans="1:6" ht="13.5" thickBot="1">
      <c r="A80" s="3"/>
      <c r="B80" s="4"/>
      <c r="C80" s="6"/>
      <c r="D80" s="60"/>
      <c r="E80" s="60"/>
      <c r="F80" s="79"/>
    </row>
    <row r="81" spans="1:7" ht="13.5" thickTop="1">
      <c r="A81" s="87" t="s">
        <v>1069</v>
      </c>
      <c r="B81" s="8" t="s">
        <v>1054</v>
      </c>
      <c r="C81" s="89" t="str">
        <f>Fecha</f>
        <v>JUN/10</v>
      </c>
      <c r="D81" s="57"/>
      <c r="E81" s="57"/>
      <c r="F81" s="77">
        <f>SUM(F84:F90)</f>
        <v>322.9662</v>
      </c>
      <c r="G81" s="50"/>
    </row>
    <row r="82" spans="1:7" ht="13.5" thickBot="1">
      <c r="A82" s="7" t="s">
        <v>1068</v>
      </c>
      <c r="B82" s="7" t="s">
        <v>448</v>
      </c>
      <c r="C82" s="90" t="s">
        <v>1067</v>
      </c>
      <c r="D82" s="58" t="s">
        <v>1097</v>
      </c>
      <c r="E82" s="59"/>
      <c r="F82" s="78"/>
      <c r="G82" s="51" t="s">
        <v>652</v>
      </c>
    </row>
    <row r="83" spans="1:6" ht="13.5" thickTop="1">
      <c r="A83" s="94" t="s">
        <v>1073</v>
      </c>
      <c r="D83" s="60"/>
      <c r="E83" s="60"/>
      <c r="F83" s="79"/>
    </row>
    <row r="84" spans="1:6" ht="12.75">
      <c r="A84" s="3" t="s">
        <v>292</v>
      </c>
      <c r="B84" s="4" t="str">
        <f>VLOOKUP(A84,Insumos,2)</f>
        <v>cemento Portland</v>
      </c>
      <c r="C84" s="6" t="str">
        <f>VLOOKUP(A84,Insumos,3)</f>
        <v>kg</v>
      </c>
      <c r="D84" s="60">
        <v>350</v>
      </c>
      <c r="E84" s="60">
        <f>VLOOKUP(A84,Insumos,4)</f>
        <v>0.4787</v>
      </c>
      <c r="F84" s="79">
        <f>(D84*E84)</f>
        <v>167.54500000000002</v>
      </c>
    </row>
    <row r="85" spans="1:6" ht="12.75">
      <c r="A85" s="3" t="s">
        <v>294</v>
      </c>
      <c r="B85" s="4" t="str">
        <f>VLOOKUP(A85,Insumos,2)</f>
        <v>arena gruesa</v>
      </c>
      <c r="C85" s="6" t="str">
        <f>VLOOKUP(A85,Insumos,3)</f>
        <v>m3</v>
      </c>
      <c r="D85" s="60">
        <v>0.65</v>
      </c>
      <c r="E85" s="60">
        <f>VLOOKUP(A85,Insumos,4)</f>
        <v>51</v>
      </c>
      <c r="F85" s="79">
        <f>(D85*E85)</f>
        <v>33.15</v>
      </c>
    </row>
    <row r="86" spans="1:6" ht="12.75">
      <c r="A86" s="3" t="s">
        <v>293</v>
      </c>
      <c r="B86" s="4" t="str">
        <f>VLOOKUP(A86,Insumos,2)</f>
        <v>ripio zarandeado 1/3</v>
      </c>
      <c r="C86" s="6" t="str">
        <f>VLOOKUP(A86,Insumos,3)</f>
        <v>m3</v>
      </c>
      <c r="D86" s="60">
        <v>0.65</v>
      </c>
      <c r="E86" s="60">
        <f>VLOOKUP(A86,Insumos,4)</f>
        <v>45.5</v>
      </c>
      <c r="F86" s="79">
        <f>(D86*E86)</f>
        <v>29.575</v>
      </c>
    </row>
    <row r="87" spans="1:6" ht="12.75">
      <c r="A87" s="94" t="s">
        <v>1074</v>
      </c>
      <c r="D87" s="60"/>
      <c r="E87" s="60"/>
      <c r="F87" s="79"/>
    </row>
    <row r="88" spans="1:6" ht="12.75">
      <c r="A88" s="3" t="s">
        <v>289</v>
      </c>
      <c r="B88" s="4" t="str">
        <f>VLOOKUP(A88,Insumos,2)</f>
        <v>cuadrilla tipo UOCRA</v>
      </c>
      <c r="C88" s="6" t="str">
        <f>VLOOKUP(A88,Insumos,3)</f>
        <v>h</v>
      </c>
      <c r="D88" s="60">
        <v>4</v>
      </c>
      <c r="E88" s="60">
        <f>VLOOKUP(A88,Insumos,4)</f>
        <v>21.86</v>
      </c>
      <c r="F88" s="79">
        <f>(D88*E88)</f>
        <v>87.44</v>
      </c>
    </row>
    <row r="89" spans="1:6" ht="12.75">
      <c r="A89" s="96" t="s">
        <v>1075</v>
      </c>
      <c r="B89" s="4"/>
      <c r="C89" s="6"/>
      <c r="D89" s="60"/>
      <c r="E89" s="60"/>
      <c r="F89" s="79"/>
    </row>
    <row r="90" spans="1:6" ht="12.75">
      <c r="A90" s="3" t="s">
        <v>295</v>
      </c>
      <c r="B90" s="4" t="str">
        <f>VLOOKUP(A90,Insumos,2)</f>
        <v>canasta 2 (mixer 5m3)</v>
      </c>
      <c r="C90" s="6" t="str">
        <f>VLOOKUP(A90,Insumos,3)</f>
        <v>h</v>
      </c>
      <c r="D90" s="60">
        <v>0.02</v>
      </c>
      <c r="E90" s="60">
        <f>VLOOKUP(A90,Insumos,4)</f>
        <v>262.81</v>
      </c>
      <c r="F90" s="79">
        <f>(D90*E90)</f>
        <v>5.2562</v>
      </c>
    </row>
    <row r="91" ht="13.5" thickBot="1"/>
    <row r="92" spans="1:7" ht="13.5" thickTop="1">
      <c r="A92" s="87" t="s">
        <v>1069</v>
      </c>
      <c r="B92" s="8" t="s">
        <v>1085</v>
      </c>
      <c r="C92" s="89" t="str">
        <f>Fecha</f>
        <v>JUN/10</v>
      </c>
      <c r="D92" s="57"/>
      <c r="E92" s="57"/>
      <c r="F92" s="77">
        <f>SUM(F95:F99)</f>
        <v>915.73605</v>
      </c>
      <c r="G92" s="50"/>
    </row>
    <row r="93" spans="1:7" ht="13.5" thickBot="1">
      <c r="A93" s="7" t="s">
        <v>1068</v>
      </c>
      <c r="B93" s="7" t="s">
        <v>448</v>
      </c>
      <c r="C93" s="90" t="s">
        <v>1067</v>
      </c>
      <c r="D93" s="58" t="s">
        <v>1086</v>
      </c>
      <c r="E93" s="59"/>
      <c r="F93" s="78"/>
      <c r="G93" s="51" t="s">
        <v>1070</v>
      </c>
    </row>
    <row r="94" spans="1:6" ht="13.5" thickTop="1">
      <c r="A94" s="94" t="s">
        <v>1073</v>
      </c>
      <c r="D94" s="60"/>
      <c r="E94" s="60"/>
      <c r="F94" s="79"/>
    </row>
    <row r="95" spans="1:6" ht="12.75">
      <c r="A95" s="3" t="s">
        <v>1087</v>
      </c>
      <c r="B95" s="4" t="str">
        <f>VLOOKUP(A95,Insumos,2)</f>
        <v>matafuegos 5 kg tipo ABC</v>
      </c>
      <c r="C95" s="6" t="str">
        <f>VLOOKUP(A95,Insumos,3)</f>
        <v>u</v>
      </c>
      <c r="D95" s="60">
        <v>4</v>
      </c>
      <c r="E95" s="60">
        <f>VLOOKUP(A95,Insumos,4)</f>
        <v>223.1405</v>
      </c>
      <c r="F95" s="79">
        <f>(D95*E95)</f>
        <v>892.562</v>
      </c>
    </row>
    <row r="96" spans="1:6" ht="12.75">
      <c r="A96" s="94" t="s">
        <v>1074</v>
      </c>
      <c r="D96" s="60"/>
      <c r="E96" s="60"/>
      <c r="F96" s="79"/>
    </row>
    <row r="97" spans="1:6" ht="12.75">
      <c r="A97" s="3" t="s">
        <v>289</v>
      </c>
      <c r="B97" s="4" t="str">
        <f>VLOOKUP(A97,Insumos,2)</f>
        <v>cuadrilla tipo UOCRA</v>
      </c>
      <c r="C97" s="6" t="str">
        <f>VLOOKUP(A97,Insumos,3)</f>
        <v>h</v>
      </c>
      <c r="D97" s="60">
        <v>1</v>
      </c>
      <c r="E97" s="60">
        <f>VLOOKUP(A97,Insumos,4)</f>
        <v>21.86</v>
      </c>
      <c r="F97" s="79">
        <f>(D97*E97)</f>
        <v>21.86</v>
      </c>
    </row>
    <row r="98" spans="1:6" ht="12.75">
      <c r="A98" s="96" t="s">
        <v>1075</v>
      </c>
      <c r="B98" s="4"/>
      <c r="C98" s="6"/>
      <c r="D98" s="60"/>
      <c r="E98" s="60"/>
      <c r="F98" s="79"/>
    </row>
    <row r="99" spans="1:6" ht="12.75">
      <c r="A99" s="3" t="s">
        <v>295</v>
      </c>
      <c r="B99" s="4" t="str">
        <f>VLOOKUP(A99,Insumos,2)</f>
        <v>canasta 2 (mixer 5m3)</v>
      </c>
      <c r="C99" s="6" t="str">
        <f>VLOOKUP(A99,Insumos,3)</f>
        <v>h</v>
      </c>
      <c r="D99" s="60">
        <v>0.005</v>
      </c>
      <c r="E99" s="60">
        <f>VLOOKUP(A99,Insumos,4)</f>
        <v>262.81</v>
      </c>
      <c r="F99" s="79">
        <f>(D99*E99)</f>
        <v>1.31405</v>
      </c>
    </row>
    <row r="100" ht="13.5" thickBot="1"/>
    <row r="101" spans="1:7" ht="13.5" thickTop="1">
      <c r="A101" s="87" t="s">
        <v>1069</v>
      </c>
      <c r="B101" s="8" t="s">
        <v>1107</v>
      </c>
      <c r="C101" s="89" t="str">
        <f>Fecha</f>
        <v>JUN/10</v>
      </c>
      <c r="D101" s="57"/>
      <c r="E101" s="57"/>
      <c r="F101" s="77">
        <f>SUM(F104:F109)</f>
        <v>741.14798</v>
      </c>
      <c r="G101" s="50"/>
    </row>
    <row r="102" spans="1:7" ht="13.5" thickBot="1">
      <c r="A102" s="7" t="s">
        <v>1068</v>
      </c>
      <c r="B102" s="7" t="s">
        <v>448</v>
      </c>
      <c r="C102" s="90" t="s">
        <v>1067</v>
      </c>
      <c r="D102" s="58" t="s">
        <v>1109</v>
      </c>
      <c r="E102" s="59"/>
      <c r="F102" s="78"/>
      <c r="G102" s="51" t="s">
        <v>1070</v>
      </c>
    </row>
    <row r="103" spans="1:6" ht="13.5" thickTop="1">
      <c r="A103" s="94" t="s">
        <v>1073</v>
      </c>
      <c r="D103" s="60"/>
      <c r="E103" s="60"/>
      <c r="F103" s="79"/>
    </row>
    <row r="104" spans="1:6" ht="12.75">
      <c r="A104" s="3" t="s">
        <v>329</v>
      </c>
      <c r="B104" s="4" t="str">
        <f>VLOOKUP(A104,'IN-06-10'!$A$5:$D$440,2)</f>
        <v>bacha simple acero inox. 52 x 32x18</v>
      </c>
      <c r="C104" s="4" t="str">
        <f>VLOOKUP(A104,'IN-06-10'!$A$5:$D$440,3)</f>
        <v>u</v>
      </c>
      <c r="D104" s="60">
        <v>1</v>
      </c>
      <c r="E104" s="105">
        <f>VLOOKUP(A104,'IN-06-10'!$A$5:$D$440,4)</f>
        <v>72.5217</v>
      </c>
      <c r="F104" s="79">
        <f>(D104*E104)</f>
        <v>72.5217</v>
      </c>
    </row>
    <row r="105" spans="1:6" ht="12.75">
      <c r="A105" s="3" t="s">
        <v>1110</v>
      </c>
      <c r="B105" s="4" t="str">
        <f>VLOOKUP(A105,'IN-06-10'!$A$5:$D$440,2)</f>
        <v>mesada granito natural nacional  e=2cm.</v>
      </c>
      <c r="C105" s="4" t="str">
        <f>VLOOKUP(A105,'IN-06-10'!$A$5:$D$440,3)</f>
        <v>m2</v>
      </c>
      <c r="D105" s="60">
        <v>1.2</v>
      </c>
      <c r="E105" s="105">
        <f>VLOOKUP(A105,'IN-06-10'!$A$5:$D$440,4)</f>
        <v>462.8099</v>
      </c>
      <c r="F105" s="79">
        <f>(D105*E105)</f>
        <v>555.37188</v>
      </c>
    </row>
    <row r="106" spans="1:6" ht="12.75">
      <c r="A106" s="94" t="s">
        <v>1074</v>
      </c>
      <c r="D106" s="60"/>
      <c r="E106" s="60"/>
      <c r="F106" s="79"/>
    </row>
    <row r="107" spans="1:6" ht="12.75">
      <c r="A107" s="3" t="s">
        <v>289</v>
      </c>
      <c r="B107" s="4" t="str">
        <f>VLOOKUP(A107,Insumos,2)</f>
        <v>cuadrilla tipo UOCRA</v>
      </c>
      <c r="C107" s="6" t="str">
        <f>VLOOKUP(A107,Insumos,3)</f>
        <v>h</v>
      </c>
      <c r="D107" s="60">
        <f>2.7+2</f>
        <v>4.7</v>
      </c>
      <c r="E107" s="60">
        <f>VLOOKUP(A107,Insumos,4)</f>
        <v>21.86</v>
      </c>
      <c r="F107" s="79">
        <f>(D107*E107)</f>
        <v>102.742</v>
      </c>
    </row>
    <row r="108" spans="1:6" ht="12.75">
      <c r="A108" s="96" t="s">
        <v>1075</v>
      </c>
      <c r="B108" s="4"/>
      <c r="C108" s="6"/>
      <c r="D108" s="60"/>
      <c r="E108" s="60"/>
      <c r="F108" s="79"/>
    </row>
    <row r="109" spans="1:6" ht="12.75">
      <c r="A109" s="3" t="s">
        <v>295</v>
      </c>
      <c r="B109" s="4" t="str">
        <f>VLOOKUP(A109,Insumos,2)</f>
        <v>canasta 2 (mixer 5m3)</v>
      </c>
      <c r="C109" s="6" t="str">
        <f>VLOOKUP(A109,Insumos,3)</f>
        <v>h</v>
      </c>
      <c r="D109" s="60">
        <v>0.04</v>
      </c>
      <c r="E109" s="60">
        <f>VLOOKUP(A109,Insumos,4)</f>
        <v>262.81</v>
      </c>
      <c r="F109" s="79">
        <f>(D109*E109)</f>
        <v>10.5124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R529"/>
  <sheetViews>
    <sheetView showGridLines="0" zoomScale="75" zoomScaleNormal="75" workbookViewId="0" topLeftCell="A1">
      <pane ySplit="5" topLeftCell="BM510" activePane="bottomLeft" state="frozen"/>
      <selection pane="topLeft" activeCell="A1" sqref="A1"/>
      <selection pane="bottomLeft" activeCell="D528" sqref="D528"/>
    </sheetView>
  </sheetViews>
  <sheetFormatPr defaultColWidth="9.796875" defaultRowHeight="15"/>
  <cols>
    <col min="1" max="1" width="9.3984375" style="38" customWidth="1"/>
    <col min="2" max="2" width="51.09765625" style="15" customWidth="1"/>
    <col min="3" max="3" width="5.796875" style="15" customWidth="1"/>
    <col min="4" max="4" width="15.59765625" style="102" customWidth="1"/>
    <col min="5" max="5" width="11.796875" style="219" hidden="1" customWidth="1"/>
    <col min="6" max="6" width="20.296875" style="238" hidden="1" customWidth="1"/>
    <col min="7" max="7" width="11.69921875" style="150" hidden="1" customWidth="1"/>
    <col min="8" max="8" width="11.796875" style="15" hidden="1" customWidth="1"/>
    <col min="9" max="9" width="19.09765625" style="15" hidden="1" customWidth="1"/>
    <col min="10" max="10" width="13.69921875" style="15" hidden="1" customWidth="1"/>
    <col min="11" max="11" width="19.296875" style="15" hidden="1" customWidth="1"/>
    <col min="12" max="12" width="10.3984375" style="15" hidden="1" customWidth="1"/>
    <col min="13" max="13" width="5.19921875" style="15" hidden="1" customWidth="1"/>
    <col min="14" max="14" width="7.09765625" style="15" hidden="1" customWidth="1"/>
    <col min="15" max="15" width="10.59765625" style="15" hidden="1" customWidth="1"/>
    <col min="16" max="16" width="13.19921875" style="15" customWidth="1"/>
    <col min="17" max="16384" width="9.796875" style="15" customWidth="1"/>
  </cols>
  <sheetData>
    <row r="1" spans="1:15" ht="30.75" customHeight="1">
      <c r="A1" s="394" t="s">
        <v>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9" ht="30.75" customHeight="1">
      <c r="A2" s="393" t="s">
        <v>1090</v>
      </c>
      <c r="B2" s="393"/>
      <c r="C2" s="393"/>
      <c r="D2" s="393"/>
      <c r="E2" s="393"/>
      <c r="F2" s="393"/>
      <c r="G2" s="393"/>
      <c r="I2" s="149" t="s">
        <v>1395</v>
      </c>
    </row>
    <row r="3" spans="1:8" ht="15.75">
      <c r="A3" s="38" t="s">
        <v>1090</v>
      </c>
      <c r="C3" s="285" t="s">
        <v>129</v>
      </c>
      <c r="D3" s="217" t="s">
        <v>93</v>
      </c>
      <c r="F3" s="220"/>
      <c r="G3" s="150" t="s">
        <v>1090</v>
      </c>
      <c r="H3" s="101" t="s">
        <v>1090</v>
      </c>
    </row>
    <row r="4" spans="5:7" ht="15.75" thickBot="1">
      <c r="E4" s="218" t="s">
        <v>1090</v>
      </c>
      <c r="F4" s="220" t="s">
        <v>1263</v>
      </c>
      <c r="G4" s="150" t="s">
        <v>1090</v>
      </c>
    </row>
    <row r="5" spans="1:15" ht="26.25" customHeight="1" thickBot="1">
      <c r="A5" s="284" t="s">
        <v>585</v>
      </c>
      <c r="B5" s="283" t="s">
        <v>586</v>
      </c>
      <c r="C5" s="283" t="s">
        <v>882</v>
      </c>
      <c r="D5" s="289" t="s">
        <v>730</v>
      </c>
      <c r="E5" s="281" t="s">
        <v>728</v>
      </c>
      <c r="F5" s="221" t="s">
        <v>729</v>
      </c>
      <c r="G5" s="174" t="s">
        <v>1090</v>
      </c>
      <c r="L5" s="151" t="s">
        <v>1300</v>
      </c>
      <c r="O5" s="282" t="s">
        <v>127</v>
      </c>
    </row>
    <row r="6" spans="1:15" ht="15.75" customHeight="1">
      <c r="A6" s="181" t="s">
        <v>345</v>
      </c>
      <c r="B6" s="182" t="s">
        <v>627</v>
      </c>
      <c r="C6" s="183" t="s">
        <v>628</v>
      </c>
      <c r="D6" s="290">
        <f>LOOKUP(A6,'[2]Hoja1'!$F$2:$F$915,'[2]Hoja1'!$D$2:$D$915)</f>
        <v>233.3333</v>
      </c>
      <c r="E6" s="245">
        <v>107.619</v>
      </c>
      <c r="F6" s="222" t="s">
        <v>1090</v>
      </c>
      <c r="G6" s="184" t="s">
        <v>1090</v>
      </c>
      <c r="H6" s="152" t="s">
        <v>1299</v>
      </c>
      <c r="L6" s="15">
        <v>3</v>
      </c>
      <c r="O6" s="287" t="e">
        <f>#REF!/#REF!</f>
        <v>#REF!</v>
      </c>
    </row>
    <row r="7" spans="1:15" ht="15">
      <c r="A7" s="185" t="s">
        <v>291</v>
      </c>
      <c r="B7" s="176" t="s">
        <v>625</v>
      </c>
      <c r="C7" s="175" t="s">
        <v>633</v>
      </c>
      <c r="D7" s="290">
        <f>LOOKUP(A7,'[2]Hoja1'!$F$2:$F$915,'[2]Hoja1'!$D$2:$D$915)</f>
        <v>4.1892</v>
      </c>
      <c r="E7" s="246">
        <v>1.831</v>
      </c>
      <c r="F7" s="223" t="s">
        <v>1090</v>
      </c>
      <c r="G7" s="186" t="s">
        <v>1090</v>
      </c>
      <c r="L7" s="15">
        <v>3</v>
      </c>
      <c r="O7" s="287" t="e">
        <f>D7/#REF!</f>
        <v>#REF!</v>
      </c>
    </row>
    <row r="8" spans="1:15" ht="15">
      <c r="A8" s="185" t="s">
        <v>1118</v>
      </c>
      <c r="B8" s="176" t="s">
        <v>1119</v>
      </c>
      <c r="C8" s="175" t="s">
        <v>1120</v>
      </c>
      <c r="D8" s="290">
        <f>LOOKUP(A8,'[2]Hoja1'!$F$2:$F$915,'[2]Hoja1'!$D$2:$D$915)</f>
        <v>4189.2</v>
      </c>
      <c r="E8" s="246">
        <v>1831.067</v>
      </c>
      <c r="F8" s="223" t="s">
        <v>1090</v>
      </c>
      <c r="G8" s="186" t="s">
        <v>1090</v>
      </c>
      <c r="H8" s="153"/>
      <c r="L8" s="15">
        <v>3</v>
      </c>
      <c r="O8" s="287" t="e">
        <f>D8/#REF!</f>
        <v>#REF!</v>
      </c>
    </row>
    <row r="9" spans="1:15" ht="15">
      <c r="A9" s="185" t="s">
        <v>296</v>
      </c>
      <c r="B9" s="176" t="s">
        <v>626</v>
      </c>
      <c r="C9" s="175" t="s">
        <v>633</v>
      </c>
      <c r="D9" s="290">
        <f>LOOKUP(A9,'[2]Hoja1'!$F$2:$F$915,'[2]Hoja1'!$D$2:$D$915)</f>
        <v>5.3261</v>
      </c>
      <c r="E9" s="246">
        <v>2.353</v>
      </c>
      <c r="F9" s="224" t="s">
        <v>1090</v>
      </c>
      <c r="G9" s="186" t="s">
        <v>1090</v>
      </c>
      <c r="L9" s="15">
        <v>3</v>
      </c>
      <c r="O9" s="287" t="e">
        <f>D9/#REF!</f>
        <v>#REF!</v>
      </c>
    </row>
    <row r="10" spans="1:15" ht="15">
      <c r="A10" s="185" t="s">
        <v>315</v>
      </c>
      <c r="B10" s="176" t="s">
        <v>731</v>
      </c>
      <c r="C10" s="175" t="s">
        <v>882</v>
      </c>
      <c r="D10" s="290">
        <f>LOOKUP(A10,'[2]Hoja1'!$F$2:$F$915,'[2]Hoja1'!$D$2:$D$915)</f>
        <v>8.8733</v>
      </c>
      <c r="E10" s="246">
        <v>4.118</v>
      </c>
      <c r="F10" s="224" t="s">
        <v>1090</v>
      </c>
      <c r="G10" s="186" t="s">
        <v>1090</v>
      </c>
      <c r="L10" s="15">
        <v>3</v>
      </c>
      <c r="O10" s="287" t="e">
        <f>D10/#REF!</f>
        <v>#REF!</v>
      </c>
    </row>
    <row r="11" spans="1:18" ht="15">
      <c r="A11" s="185" t="s">
        <v>431</v>
      </c>
      <c r="B11" s="176" t="s">
        <v>629</v>
      </c>
      <c r="C11" s="175" t="s">
        <v>633</v>
      </c>
      <c r="D11" s="290">
        <f>LOOKUP(A11,'[2]Hoja1'!$F$2:$F$915,'[2]Hoja1'!$D$2:$D$915)</f>
        <v>4.8425</v>
      </c>
      <c r="E11" s="246">
        <v>2.235</v>
      </c>
      <c r="F11" s="224" t="s">
        <v>1090</v>
      </c>
      <c r="G11" s="186" t="s">
        <v>1090</v>
      </c>
      <c r="L11" s="15">
        <v>3</v>
      </c>
      <c r="O11" s="287" t="e">
        <f>D11/#REF!</f>
        <v>#REF!</v>
      </c>
      <c r="Q11" s="336"/>
      <c r="R11" s="336"/>
    </row>
    <row r="12" spans="1:18" ht="15">
      <c r="A12" s="185" t="s">
        <v>426</v>
      </c>
      <c r="B12" s="176" t="s">
        <v>630</v>
      </c>
      <c r="C12" s="175" t="s">
        <v>633</v>
      </c>
      <c r="D12" s="290">
        <f>LOOKUP(A12,'[2]Hoja1'!$F$2:$F$915,'[2]Hoja1'!$D$2:$D$915)</f>
        <v>5.876</v>
      </c>
      <c r="E12" s="246">
        <v>2.86</v>
      </c>
      <c r="F12" s="224" t="s">
        <v>1090</v>
      </c>
      <c r="G12" s="186" t="s">
        <v>1090</v>
      </c>
      <c r="L12" s="15">
        <v>3</v>
      </c>
      <c r="O12" s="287" t="e">
        <f>D12/#REF!</f>
        <v>#REF!</v>
      </c>
      <c r="Q12" s="337"/>
      <c r="R12" s="338"/>
    </row>
    <row r="13" spans="1:18" ht="15">
      <c r="A13" s="185" t="s">
        <v>1121</v>
      </c>
      <c r="B13" s="176" t="s">
        <v>1122</v>
      </c>
      <c r="C13" s="175" t="s">
        <v>633</v>
      </c>
      <c r="D13" s="290">
        <f>LOOKUP(A13,'[2]Hoja1'!$F$2:$F$915,'[2]Hoja1'!$D$2:$D$915)</f>
        <v>5.6253</v>
      </c>
      <c r="E13" s="246">
        <v>2.738</v>
      </c>
      <c r="F13" s="224" t="s">
        <v>1090</v>
      </c>
      <c r="G13" s="187" t="s">
        <v>1090</v>
      </c>
      <c r="J13" s="170"/>
      <c r="L13" s="15">
        <v>3</v>
      </c>
      <c r="O13" s="287" t="e">
        <f>D13/#REF!</f>
        <v>#REF!</v>
      </c>
      <c r="Q13" s="337"/>
      <c r="R13" s="338"/>
    </row>
    <row r="14" spans="1:18" ht="15">
      <c r="A14" s="185" t="s">
        <v>450</v>
      </c>
      <c r="B14" s="176" t="s">
        <v>673</v>
      </c>
      <c r="C14" s="175" t="s">
        <v>475</v>
      </c>
      <c r="D14" s="290">
        <f>LOOKUP(A14,'[2]Hoja1'!$F$2:$F$915,'[2]Hoja1'!$D$2:$D$915)</f>
        <v>12.7893</v>
      </c>
      <c r="E14" s="246">
        <v>5.975</v>
      </c>
      <c r="F14" s="224" t="s">
        <v>1090</v>
      </c>
      <c r="G14" s="186" t="s">
        <v>1090</v>
      </c>
      <c r="H14" s="15">
        <v>5047</v>
      </c>
      <c r="L14" s="15">
        <v>3</v>
      </c>
      <c r="O14" s="287" t="e">
        <f>D14/#REF!</f>
        <v>#REF!</v>
      </c>
      <c r="P14" s="152"/>
      <c r="Q14" s="339"/>
      <c r="R14" s="338"/>
    </row>
    <row r="15" spans="1:18" ht="15">
      <c r="A15" s="185" t="s">
        <v>1123</v>
      </c>
      <c r="B15" s="176" t="s">
        <v>1124</v>
      </c>
      <c r="C15" s="175" t="s">
        <v>633</v>
      </c>
      <c r="D15" s="290">
        <f>LOOKUP(A15,'[2]Hoja1'!$F$2:$F$915,'[2]Hoja1'!$D$2:$D$915)</f>
        <v>5.6777</v>
      </c>
      <c r="E15" s="246">
        <v>2.747</v>
      </c>
      <c r="F15" s="224" t="s">
        <v>1090</v>
      </c>
      <c r="G15" s="187" t="s">
        <v>1090</v>
      </c>
      <c r="H15" s="15">
        <f>4-16</f>
        <v>-12</v>
      </c>
      <c r="L15" s="15">
        <v>3</v>
      </c>
      <c r="O15" s="287" t="e">
        <f>D15/#REF!</f>
        <v>#REF!</v>
      </c>
      <c r="P15" s="152"/>
      <c r="Q15" s="339"/>
      <c r="R15" s="338"/>
    </row>
    <row r="16" spans="1:18" ht="15" customHeight="1">
      <c r="A16" s="185" t="s">
        <v>451</v>
      </c>
      <c r="B16" s="176" t="s">
        <v>674</v>
      </c>
      <c r="C16" s="175" t="s">
        <v>475</v>
      </c>
      <c r="D16" s="290">
        <f>LOOKUP(A16,'[2]Hoja1'!$F$2:$F$915,'[2]Hoja1'!$D$2:$D$915)</f>
        <v>0.326</v>
      </c>
      <c r="E16" s="246">
        <v>0.146</v>
      </c>
      <c r="F16" s="224" t="s">
        <v>1090</v>
      </c>
      <c r="G16" s="186" t="s">
        <v>1090</v>
      </c>
      <c r="H16" s="15">
        <f>5-55</f>
        <v>-50</v>
      </c>
      <c r="L16" s="15">
        <v>3</v>
      </c>
      <c r="O16" s="287" t="e">
        <f>D16/#REF!</f>
        <v>#REF!</v>
      </c>
      <c r="P16" s="152"/>
      <c r="Q16" s="337"/>
      <c r="R16" s="338"/>
    </row>
    <row r="17" spans="1:16" ht="15">
      <c r="A17" s="185" t="s">
        <v>1125</v>
      </c>
      <c r="B17" s="176" t="s">
        <v>1126</v>
      </c>
      <c r="C17" s="175" t="s">
        <v>1127</v>
      </c>
      <c r="D17" s="290">
        <f>LOOKUP(A17,'[2]Hoja1'!$F$2:$F$915,'[2]Hoja1'!$D$2:$D$915)</f>
        <v>0.3639</v>
      </c>
      <c r="E17" s="246">
        <v>0.162</v>
      </c>
      <c r="F17" s="224" t="s">
        <v>1090</v>
      </c>
      <c r="G17" s="187" t="s">
        <v>1090</v>
      </c>
      <c r="H17" s="15">
        <f>5-10</f>
        <v>-5</v>
      </c>
      <c r="L17" s="15">
        <v>3</v>
      </c>
      <c r="O17" s="287" t="e">
        <f>D17/#REF!</f>
        <v>#REF!</v>
      </c>
      <c r="P17" s="152"/>
    </row>
    <row r="18" spans="1:16" ht="15">
      <c r="A18" s="185" t="s">
        <v>453</v>
      </c>
      <c r="B18" s="176" t="s">
        <v>675</v>
      </c>
      <c r="C18" s="175" t="s">
        <v>475</v>
      </c>
      <c r="D18" s="290">
        <f>LOOKUP(A18,'[2]Hoja1'!$F$2:$F$915,'[2]Hoja1'!$D$2:$D$915)</f>
        <v>2.0032</v>
      </c>
      <c r="E18" s="246">
        <v>0.996</v>
      </c>
      <c r="F18" s="224" t="s">
        <v>1090</v>
      </c>
      <c r="G18" s="186" t="s">
        <v>1090</v>
      </c>
      <c r="H18" s="15">
        <f>24-1</f>
        <v>23</v>
      </c>
      <c r="L18" s="15">
        <v>3</v>
      </c>
      <c r="O18" s="287" t="e">
        <f>D18/#REF!</f>
        <v>#REF!</v>
      </c>
      <c r="P18" s="152"/>
    </row>
    <row r="19" spans="1:16" ht="15">
      <c r="A19" s="185" t="s">
        <v>1397</v>
      </c>
      <c r="B19" s="176" t="s">
        <v>1398</v>
      </c>
      <c r="C19" s="175" t="s">
        <v>475</v>
      </c>
      <c r="D19" s="290">
        <f>LOOKUP(A19,'[2]Hoja1'!$F$2:$F$915,'[2]Hoja1'!$D$2:$D$915)</f>
        <v>2.3503</v>
      </c>
      <c r="E19" s="247">
        <f>1.35/1.21</f>
        <v>1.115702479338843</v>
      </c>
      <c r="F19" s="224" t="s">
        <v>1090</v>
      </c>
      <c r="G19" s="186" t="s">
        <v>1090</v>
      </c>
      <c r="H19" s="15">
        <f>24-2</f>
        <v>22</v>
      </c>
      <c r="O19" s="287" t="e">
        <f>D19/#REF!</f>
        <v>#REF!</v>
      </c>
      <c r="P19" s="152"/>
    </row>
    <row r="20" spans="1:16" ht="15">
      <c r="A20" s="185" t="s">
        <v>1408</v>
      </c>
      <c r="B20" s="176" t="s">
        <v>1409</v>
      </c>
      <c r="C20" s="175" t="s">
        <v>882</v>
      </c>
      <c r="D20" s="290">
        <f>LOOKUP(A20,'[2]Hoja1'!$F$2:$F$915,'[2]Hoja1'!$D$2:$D$915)</f>
        <v>0.281</v>
      </c>
      <c r="E20" s="246">
        <v>0.149</v>
      </c>
      <c r="F20" s="224" t="s">
        <v>1090</v>
      </c>
      <c r="G20" s="186" t="s">
        <v>1090</v>
      </c>
      <c r="O20" s="287" t="e">
        <f>D20/#REF!</f>
        <v>#REF!</v>
      </c>
      <c r="P20" s="152"/>
    </row>
    <row r="21" spans="1:16" ht="15">
      <c r="A21" s="185" t="s">
        <v>452</v>
      </c>
      <c r="B21" s="176" t="s">
        <v>676</v>
      </c>
      <c r="C21" s="175" t="s">
        <v>882</v>
      </c>
      <c r="D21" s="290">
        <f>LOOKUP(A21,'[2]Hoja1'!$F$2:$F$915,'[2]Hoja1'!$D$2:$D$915)</f>
        <v>1.9834</v>
      </c>
      <c r="E21" s="246">
        <v>0.793</v>
      </c>
      <c r="F21" s="224" t="s">
        <v>1090</v>
      </c>
      <c r="G21" s="186" t="s">
        <v>1090</v>
      </c>
      <c r="L21" s="15">
        <v>3</v>
      </c>
      <c r="O21" s="287" t="e">
        <f>D21/#REF!</f>
        <v>#REF!</v>
      </c>
      <c r="P21" s="152"/>
    </row>
    <row r="22" spans="1:16" ht="15">
      <c r="A22" s="185" t="s">
        <v>1128</v>
      </c>
      <c r="B22" s="176" t="s">
        <v>1380</v>
      </c>
      <c r="C22" s="175" t="s">
        <v>882</v>
      </c>
      <c r="D22" s="290">
        <f>LOOKUP(A22,'[2]Hoja1'!$F$2:$F$915,'[2]Hoja1'!$D$2:$D$915)</f>
        <v>5.3995</v>
      </c>
      <c r="E22" s="246">
        <v>2.659</v>
      </c>
      <c r="F22" s="224" t="s">
        <v>1090</v>
      </c>
      <c r="G22" s="187" t="s">
        <v>1090</v>
      </c>
      <c r="H22" s="15">
        <v>5722</v>
      </c>
      <c r="L22" s="15">
        <v>3</v>
      </c>
      <c r="O22" s="287" t="e">
        <f>D22/#REF!</f>
        <v>#REF!</v>
      </c>
      <c r="P22" s="152"/>
    </row>
    <row r="23" spans="1:16" ht="15">
      <c r="A23" s="185" t="s">
        <v>1129</v>
      </c>
      <c r="B23" s="176" t="s">
        <v>1130</v>
      </c>
      <c r="C23" s="175" t="s">
        <v>1120</v>
      </c>
      <c r="D23" s="290">
        <f>LOOKUP(A23,'[2]Hoja1'!$F$2:$F$915,'[2]Hoja1'!$D$2:$D$915)</f>
        <v>7268.2259</v>
      </c>
      <c r="E23" s="248">
        <f>(4270)/1.21*1.06</f>
        <v>3740.6611570247937</v>
      </c>
      <c r="F23" s="224"/>
      <c r="G23" s="188"/>
      <c r="H23" s="15" t="s">
        <v>1356</v>
      </c>
      <c r="L23" s="15">
        <v>1</v>
      </c>
      <c r="O23" s="287" t="e">
        <f>D23/#REF!</f>
        <v>#REF!</v>
      </c>
      <c r="P23" s="152"/>
    </row>
    <row r="24" spans="1:16" ht="15">
      <c r="A24" s="306" t="s">
        <v>163</v>
      </c>
      <c r="B24" s="176" t="s">
        <v>164</v>
      </c>
      <c r="C24" s="175" t="s">
        <v>475</v>
      </c>
      <c r="D24" s="290">
        <f>LOOKUP(A24,'[2]Hoja1'!$F$2:$F$915,'[2]Hoja1'!$D$2:$D$915)</f>
        <v>7.3471</v>
      </c>
      <c r="E24" s="248"/>
      <c r="F24" s="224"/>
      <c r="G24" s="188"/>
      <c r="O24" s="287"/>
      <c r="P24" s="152"/>
    </row>
    <row r="25" spans="1:16" ht="15">
      <c r="A25" s="306" t="s">
        <v>165</v>
      </c>
      <c r="B25" s="176" t="s">
        <v>166</v>
      </c>
      <c r="C25" s="175" t="s">
        <v>475</v>
      </c>
      <c r="D25" s="290">
        <f>LOOKUP(A25,'[2]Hoja1'!$F$2:$F$915,'[2]Hoja1'!$D$2:$D$915)</f>
        <v>9.2039</v>
      </c>
      <c r="E25" s="248"/>
      <c r="F25" s="224"/>
      <c r="G25" s="188"/>
      <c r="O25" s="287"/>
      <c r="P25" s="152"/>
    </row>
    <row r="26" spans="1:16" ht="15">
      <c r="A26" s="185" t="s">
        <v>732</v>
      </c>
      <c r="B26" s="176" t="s">
        <v>733</v>
      </c>
      <c r="C26" s="175" t="s">
        <v>1071</v>
      </c>
      <c r="D26" s="290">
        <f>LOOKUP(A26,'[2]Hoja1'!$F$2:$F$915,'[2]Hoja1'!$D$2:$D$915)</f>
        <v>4.2927</v>
      </c>
      <c r="E26" s="249">
        <v>1.537</v>
      </c>
      <c r="F26" s="223" t="s">
        <v>1090</v>
      </c>
      <c r="G26" s="186"/>
      <c r="H26" s="152" t="s">
        <v>1265</v>
      </c>
      <c r="L26" s="15">
        <v>2</v>
      </c>
      <c r="O26" s="287" t="e">
        <f>D26/#REF!</f>
        <v>#REF!</v>
      </c>
      <c r="P26" s="152"/>
    </row>
    <row r="27" spans="1:16" ht="15">
      <c r="A27" s="185" t="s">
        <v>734</v>
      </c>
      <c r="B27" s="176" t="s">
        <v>735</v>
      </c>
      <c r="C27" s="175" t="s">
        <v>1071</v>
      </c>
      <c r="D27" s="290">
        <f>LOOKUP(A27,'[2]Hoja1'!$F$2:$F$915,'[2]Hoja1'!$D$2:$D$915)</f>
        <v>2.8148</v>
      </c>
      <c r="E27" s="249">
        <v>1.139</v>
      </c>
      <c r="F27" s="223" t="s">
        <v>1090</v>
      </c>
      <c r="G27" s="186"/>
      <c r="L27" s="15">
        <v>2</v>
      </c>
      <c r="O27" s="287" t="e">
        <f>D27/#REF!</f>
        <v>#REF!</v>
      </c>
      <c r="P27" s="152"/>
    </row>
    <row r="28" spans="1:16" ht="15" hidden="1">
      <c r="A28" s="185" t="s">
        <v>736</v>
      </c>
      <c r="B28" s="176" t="s">
        <v>737</v>
      </c>
      <c r="C28" s="175" t="s">
        <v>602</v>
      </c>
      <c r="D28" s="290">
        <f>LOOKUP(A28,'[2]Hoja1'!$F$2:$F$915,'[2]Hoja1'!$D$2:$D$915)</f>
        <v>0</v>
      </c>
      <c r="E28" s="249">
        <f>0.64*D194</f>
        <v>2.545344</v>
      </c>
      <c r="F28" s="225"/>
      <c r="G28" s="189"/>
      <c r="L28" s="15">
        <v>1</v>
      </c>
      <c r="O28" s="287" t="e">
        <f>D28/#REF!</f>
        <v>#REF!</v>
      </c>
      <c r="P28" s="152"/>
    </row>
    <row r="29" spans="1:16" ht="15">
      <c r="A29" s="185" t="s">
        <v>738</v>
      </c>
      <c r="B29" s="176" t="s">
        <v>739</v>
      </c>
      <c r="C29" s="175" t="s">
        <v>602</v>
      </c>
      <c r="D29" s="290">
        <f>LOOKUP(A29,'[2]Hoja1'!$F$2:$F$915,'[2]Hoja1'!$D$2:$D$915)</f>
        <v>8.2571</v>
      </c>
      <c r="E29" s="249">
        <v>3.58</v>
      </c>
      <c r="F29" s="225"/>
      <c r="G29" s="189"/>
      <c r="L29" s="15">
        <v>1</v>
      </c>
      <c r="O29" s="287" t="e">
        <f>D29/#REF!</f>
        <v>#REF!</v>
      </c>
      <c r="P29" s="152"/>
    </row>
    <row r="30" spans="1:15" ht="15">
      <c r="A30" s="185" t="s">
        <v>606</v>
      </c>
      <c r="B30" s="176" t="s">
        <v>607</v>
      </c>
      <c r="C30" s="175" t="s">
        <v>1071</v>
      </c>
      <c r="D30" s="290">
        <f>LOOKUP(A30,'[2]Hoja1'!$F$2:$F$915,'[2]Hoja1'!$D$2:$D$915)</f>
        <v>10.6012</v>
      </c>
      <c r="E30" s="249">
        <v>3.683</v>
      </c>
      <c r="F30" s="225"/>
      <c r="G30" s="189"/>
      <c r="I30" s="15">
        <v>17454.6</v>
      </c>
      <c r="L30" s="15">
        <v>1</v>
      </c>
      <c r="O30" s="287" t="e">
        <f>D30/#REF!</f>
        <v>#REF!</v>
      </c>
    </row>
    <row r="31" spans="1:15" ht="15">
      <c r="A31" s="185" t="s">
        <v>700</v>
      </c>
      <c r="B31" s="176" t="s">
        <v>564</v>
      </c>
      <c r="C31" s="175" t="s">
        <v>1071</v>
      </c>
      <c r="D31" s="290">
        <f>LOOKUP(A31,'[2]Hoja1'!$F$2:$F$915,'[2]Hoja1'!$D$2:$D$915)</f>
        <v>3.0679</v>
      </c>
      <c r="E31" s="249">
        <v>0.689</v>
      </c>
      <c r="F31" s="223" t="s">
        <v>1090</v>
      </c>
      <c r="G31" s="189"/>
      <c r="I31" s="15">
        <v>9203.98</v>
      </c>
      <c r="J31" s="15">
        <f>I30-I31</f>
        <v>8250.619999999999</v>
      </c>
      <c r="L31" s="15">
        <v>2</v>
      </c>
      <c r="O31" s="287" t="e">
        <f>D31/#REF!</f>
        <v>#REF!</v>
      </c>
    </row>
    <row r="32" spans="1:15" ht="15">
      <c r="A32" s="330" t="s">
        <v>200</v>
      </c>
      <c r="B32" s="176" t="s">
        <v>601</v>
      </c>
      <c r="C32" s="175" t="s">
        <v>602</v>
      </c>
      <c r="D32" s="290">
        <f>LOOKUP(A32,'[2]Hoja1'!$F$2:$F$915,'[2]Hoja1'!$D$2:$D$915)</f>
        <v>9.4265</v>
      </c>
      <c r="E32" s="249">
        <v>7.594</v>
      </c>
      <c r="F32" s="225"/>
      <c r="G32" s="189"/>
      <c r="I32" s="15">
        <f>I30/I31</f>
        <v>1.8964187232045266</v>
      </c>
      <c r="L32" s="15">
        <v>1</v>
      </c>
      <c r="O32" s="287" t="e">
        <f>D32/#REF!</f>
        <v>#REF!</v>
      </c>
    </row>
    <row r="33" spans="1:15" ht="15">
      <c r="A33" s="185" t="s">
        <v>603</v>
      </c>
      <c r="B33" s="176" t="s">
        <v>604</v>
      </c>
      <c r="C33" s="175" t="s">
        <v>602</v>
      </c>
      <c r="D33" s="290">
        <f>LOOKUP(A33,'[2]Hoja1'!$F$2:$F$915,'[2]Hoja1'!$D$2:$D$915)</f>
        <v>9.7867</v>
      </c>
      <c r="E33" s="249">
        <f>4.365/1.21</f>
        <v>3.607438016528926</v>
      </c>
      <c r="F33" s="225"/>
      <c r="G33" s="189"/>
      <c r="L33" s="15">
        <v>1</v>
      </c>
      <c r="O33" s="287" t="e">
        <f>D33/#REF!</f>
        <v>#REF!</v>
      </c>
    </row>
    <row r="34" spans="1:15" ht="15">
      <c r="A34" s="185" t="s">
        <v>740</v>
      </c>
      <c r="B34" s="176" t="s">
        <v>741</v>
      </c>
      <c r="C34" s="175" t="s">
        <v>633</v>
      </c>
      <c r="D34" s="290">
        <f>LOOKUP(A34,'[2]Hoja1'!$F$2:$F$915,'[2]Hoja1'!$D$2:$D$915)</f>
        <v>4.58</v>
      </c>
      <c r="E34" s="249">
        <v>2.177</v>
      </c>
      <c r="F34" s="223" t="s">
        <v>1090</v>
      </c>
      <c r="G34" s="188"/>
      <c r="H34" s="154"/>
      <c r="L34" s="15">
        <v>2</v>
      </c>
      <c r="O34" s="287" t="e">
        <f>D34/#REF!</f>
        <v>#REF!</v>
      </c>
    </row>
    <row r="35" spans="1:15" ht="15">
      <c r="A35" s="185" t="s">
        <v>742</v>
      </c>
      <c r="B35" s="176" t="s">
        <v>743</v>
      </c>
      <c r="C35" s="175" t="s">
        <v>602</v>
      </c>
      <c r="D35" s="290">
        <f>LOOKUP(A35,'[2]Hoja1'!$F$2:$F$915,'[2]Hoja1'!$D$2:$D$915)</f>
        <v>1.4233</v>
      </c>
      <c r="E35" s="247"/>
      <c r="F35" s="223"/>
      <c r="G35" s="190">
        <f>1.15/1.8</f>
        <v>0.6388888888888888</v>
      </c>
      <c r="H35" s="154" t="s">
        <v>1368</v>
      </c>
      <c r="J35" s="15" t="s">
        <v>1266</v>
      </c>
      <c r="L35" s="15">
        <v>1</v>
      </c>
      <c r="O35" s="287" t="e">
        <f>D35/#REF!</f>
        <v>#REF!</v>
      </c>
    </row>
    <row r="36" spans="1:15" ht="15">
      <c r="A36" s="185" t="s">
        <v>56</v>
      </c>
      <c r="B36" s="176" t="s">
        <v>57</v>
      </c>
      <c r="C36" s="175" t="s">
        <v>633</v>
      </c>
      <c r="D36" s="290">
        <f>LOOKUP(A36,'[2]Hoja1'!$F$2:$F$915,'[2]Hoja1'!$D$2:$D$915)</f>
        <v>4</v>
      </c>
      <c r="E36" s="246">
        <v>1.389</v>
      </c>
      <c r="F36" s="223"/>
      <c r="G36" s="186"/>
      <c r="H36" s="154"/>
      <c r="O36" s="287" t="e">
        <f>D36/#REF!</f>
        <v>#REF!</v>
      </c>
    </row>
    <row r="37" spans="1:15" ht="15">
      <c r="A37" s="185" t="s">
        <v>308</v>
      </c>
      <c r="B37" s="176" t="s">
        <v>605</v>
      </c>
      <c r="C37" s="175" t="s">
        <v>1071</v>
      </c>
      <c r="D37" s="290">
        <f>LOOKUP(A37,'[2]Hoja1'!$F$2:$F$915,'[2]Hoja1'!$D$2:$D$915)</f>
        <v>3.0762</v>
      </c>
      <c r="E37" s="249">
        <v>1.772</v>
      </c>
      <c r="F37" s="223" t="s">
        <v>1090</v>
      </c>
      <c r="G37" s="191"/>
      <c r="L37" s="15">
        <v>2</v>
      </c>
      <c r="O37" s="287" t="e">
        <f>D37/#REF!</f>
        <v>#REF!</v>
      </c>
    </row>
    <row r="38" spans="1:15" ht="15">
      <c r="A38" s="185" t="s">
        <v>298</v>
      </c>
      <c r="B38" s="176" t="s">
        <v>609</v>
      </c>
      <c r="C38" s="175" t="s">
        <v>602</v>
      </c>
      <c r="D38" s="290">
        <f>LOOKUP(A38,'[2]Hoja1'!$F$2:$F$915,'[2]Hoja1'!$D$2:$D$915)</f>
        <v>5.4545</v>
      </c>
      <c r="E38" s="247"/>
      <c r="F38" s="225"/>
      <c r="G38" s="190">
        <v>3.3</v>
      </c>
      <c r="H38" s="15" t="s">
        <v>1367</v>
      </c>
      <c r="L38" s="15">
        <v>1</v>
      </c>
      <c r="O38" s="287" t="e">
        <f>D38/#REF!</f>
        <v>#REF!</v>
      </c>
    </row>
    <row r="39" spans="1:15" ht="15">
      <c r="A39" s="185" t="s">
        <v>1116</v>
      </c>
      <c r="B39" s="176" t="s">
        <v>1384</v>
      </c>
      <c r="C39" s="175" t="s">
        <v>882</v>
      </c>
      <c r="D39" s="290">
        <f>LOOKUP(A39,'[2]Hoja1'!$F$2:$F$915,'[2]Hoja1'!$D$2:$D$915)</f>
        <v>22.9752</v>
      </c>
      <c r="E39" s="247"/>
      <c r="F39" s="225"/>
      <c r="G39" s="190">
        <f>10/1.22/0.61</f>
        <v>13.437248051599031</v>
      </c>
      <c r="H39" s="15">
        <f>0.605*1.215</f>
        <v>0.735075</v>
      </c>
      <c r="L39" s="15">
        <v>1</v>
      </c>
      <c r="O39" s="287" t="e">
        <f>D39/#REF!</f>
        <v>#REF!</v>
      </c>
    </row>
    <row r="40" spans="1:15" ht="15">
      <c r="A40" s="185" t="s">
        <v>1131</v>
      </c>
      <c r="B40" s="176" t="s">
        <v>1132</v>
      </c>
      <c r="C40" s="175" t="s">
        <v>633</v>
      </c>
      <c r="D40" s="290">
        <f>LOOKUP(A40,'[2]Hoja1'!$F$2:$F$915,'[2]Hoja1'!$D$2:$D$915)</f>
        <v>4.2975</v>
      </c>
      <c r="E40" s="250"/>
      <c r="F40" s="224"/>
      <c r="G40" s="192">
        <f>3/1.21</f>
        <v>2.479338842975207</v>
      </c>
      <c r="H40" s="171" t="s">
        <v>1396</v>
      </c>
      <c r="L40" s="15">
        <v>1</v>
      </c>
      <c r="O40" s="287" t="e">
        <f>D40/#REF!</f>
        <v>#REF!</v>
      </c>
    </row>
    <row r="41" spans="1:15" ht="15">
      <c r="A41" s="185" t="s">
        <v>294</v>
      </c>
      <c r="B41" s="176" t="s">
        <v>651</v>
      </c>
      <c r="C41" s="175" t="s">
        <v>652</v>
      </c>
      <c r="D41" s="290">
        <f>LOOKUP(A41,'[2]Hoja1'!$F$2:$F$915,'[2]Hoja1'!$D$2:$D$915)</f>
        <v>51</v>
      </c>
      <c r="E41" s="249">
        <v>17</v>
      </c>
      <c r="F41" s="224" t="s">
        <v>1090</v>
      </c>
      <c r="G41" s="186"/>
      <c r="H41" s="15" t="s">
        <v>1267</v>
      </c>
      <c r="L41" s="15">
        <v>2</v>
      </c>
      <c r="O41" s="287" t="e">
        <f>D41/#REF!</f>
        <v>#REF!</v>
      </c>
    </row>
    <row r="42" spans="1:15" ht="15">
      <c r="A42" s="185" t="s">
        <v>744</v>
      </c>
      <c r="B42" s="176" t="s">
        <v>1133</v>
      </c>
      <c r="C42" s="175" t="s">
        <v>652</v>
      </c>
      <c r="D42" s="290">
        <f>LOOKUP(A42,'[2]Hoja1'!$F$2:$F$915,'[2]Hoja1'!$D$2:$D$915)</f>
        <v>43</v>
      </c>
      <c r="E42" s="249">
        <v>12.5</v>
      </c>
      <c r="F42" s="224" t="s">
        <v>1090</v>
      </c>
      <c r="G42" s="186"/>
      <c r="L42" s="15">
        <v>2</v>
      </c>
      <c r="O42" s="287" t="e">
        <f>D42/#REF!</f>
        <v>#REF!</v>
      </c>
    </row>
    <row r="43" spans="1:15" ht="15">
      <c r="A43" s="185" t="s">
        <v>293</v>
      </c>
      <c r="B43" s="176" t="s">
        <v>654</v>
      </c>
      <c r="C43" s="175" t="s">
        <v>652</v>
      </c>
      <c r="D43" s="290">
        <f>LOOKUP(A43,'[2]Hoja1'!$F$2:$F$915,'[2]Hoja1'!$D$2:$D$915)</f>
        <v>45.5</v>
      </c>
      <c r="E43" s="249">
        <v>14.25</v>
      </c>
      <c r="F43" s="224" t="s">
        <v>1090</v>
      </c>
      <c r="G43" s="186"/>
      <c r="H43" s="154"/>
      <c r="L43" s="15">
        <v>2</v>
      </c>
      <c r="O43" s="287" t="e">
        <f>D43/#REF!</f>
        <v>#REF!</v>
      </c>
    </row>
    <row r="44" spans="1:15" ht="15">
      <c r="A44" s="185" t="s">
        <v>304</v>
      </c>
      <c r="B44" s="176" t="s">
        <v>653</v>
      </c>
      <c r="C44" s="175" t="s">
        <v>652</v>
      </c>
      <c r="D44" s="290">
        <f>LOOKUP(A44,'[2]Hoja1'!$F$2:$F$915,'[2]Hoja1'!$D$2:$D$915)</f>
        <v>48</v>
      </c>
      <c r="E44" s="249">
        <v>15.75</v>
      </c>
      <c r="F44" s="224" t="s">
        <v>1090</v>
      </c>
      <c r="G44" s="186"/>
      <c r="H44" s="154"/>
      <c r="L44" s="15">
        <v>2</v>
      </c>
      <c r="O44" s="287" t="e">
        <f>D44/#REF!</f>
        <v>#REF!</v>
      </c>
    </row>
    <row r="45" spans="1:15" ht="15">
      <c r="A45" s="185" t="s">
        <v>577</v>
      </c>
      <c r="B45" s="176" t="s">
        <v>696</v>
      </c>
      <c r="C45" s="175" t="s">
        <v>652</v>
      </c>
      <c r="D45" s="290">
        <f>LOOKUP(A45,'[2]Hoja1'!$F$2:$F$915,'[2]Hoja1'!$D$2:$D$915)</f>
        <v>42.5</v>
      </c>
      <c r="E45" s="249">
        <v>12.75</v>
      </c>
      <c r="F45" s="224" t="s">
        <v>1090</v>
      </c>
      <c r="G45" s="186"/>
      <c r="H45" s="154"/>
      <c r="L45" s="15">
        <v>2</v>
      </c>
      <c r="O45" s="287" t="e">
        <f>D45/#REF!</f>
        <v>#REF!</v>
      </c>
    </row>
    <row r="46" spans="1:15" ht="15">
      <c r="A46" s="185" t="s">
        <v>576</v>
      </c>
      <c r="B46" s="176" t="s">
        <v>697</v>
      </c>
      <c r="C46" s="175" t="s">
        <v>652</v>
      </c>
      <c r="D46" s="290">
        <f>LOOKUP(A46,'[2]Hoja1'!$F$2:$F$915,'[2]Hoja1'!$D$2:$D$915)</f>
        <v>51</v>
      </c>
      <c r="E46" s="249">
        <v>17</v>
      </c>
      <c r="F46" s="224" t="s">
        <v>1090</v>
      </c>
      <c r="G46" s="186"/>
      <c r="H46" s="154"/>
      <c r="L46" s="15">
        <v>2</v>
      </c>
      <c r="O46" s="287" t="e">
        <f>D46/#REF!</f>
        <v>#REF!</v>
      </c>
    </row>
    <row r="47" spans="1:15" ht="15">
      <c r="A47" s="185" t="s">
        <v>1134</v>
      </c>
      <c r="B47" s="176" t="s">
        <v>1135</v>
      </c>
      <c r="C47" s="175" t="s">
        <v>652</v>
      </c>
      <c r="D47" s="290">
        <f>LOOKUP(A47,'[2]Hoja1'!$F$2:$F$915,'[2]Hoja1'!$D$2:$D$915)</f>
        <v>43.33</v>
      </c>
      <c r="E47" s="249">
        <v>14.17</v>
      </c>
      <c r="F47" s="224" t="s">
        <v>1090</v>
      </c>
      <c r="G47" s="187" t="s">
        <v>1090</v>
      </c>
      <c r="L47" s="15">
        <v>1</v>
      </c>
      <c r="O47" s="287" t="e">
        <f>D47/#REF!</f>
        <v>#REF!</v>
      </c>
    </row>
    <row r="48" spans="1:15" ht="15">
      <c r="A48" s="185" t="s">
        <v>745</v>
      </c>
      <c r="B48" s="176" t="s">
        <v>1136</v>
      </c>
      <c r="C48" s="175" t="s">
        <v>652</v>
      </c>
      <c r="D48" s="290">
        <f>LOOKUP(A48,'[2]Hoja1'!$F$2:$F$915,'[2]Hoja1'!$D$2:$D$915)</f>
        <v>41.7767</v>
      </c>
      <c r="E48" s="249">
        <v>13.057</v>
      </c>
      <c r="F48" s="224" t="s">
        <v>1090</v>
      </c>
      <c r="G48" s="187" t="s">
        <v>1090</v>
      </c>
      <c r="L48" s="15">
        <v>3</v>
      </c>
      <c r="O48" s="287" t="e">
        <f>D48/#REF!</f>
        <v>#REF!</v>
      </c>
    </row>
    <row r="49" spans="1:15" ht="15" hidden="1">
      <c r="A49" s="185" t="s">
        <v>1137</v>
      </c>
      <c r="B49" s="176" t="s">
        <v>1138</v>
      </c>
      <c r="C49" s="175" t="s">
        <v>652</v>
      </c>
      <c r="D49" s="290">
        <f>LOOKUP(A49,'[2]Hoja1'!$F$2:$F$915,'[2]Hoja1'!$D$2:$D$915)</f>
        <v>40</v>
      </c>
      <c r="E49" s="250"/>
      <c r="F49" s="224"/>
      <c r="G49" s="187">
        <v>12.5</v>
      </c>
      <c r="L49" s="15">
        <v>1</v>
      </c>
      <c r="O49" s="287" t="e">
        <f>D49/#REF!</f>
        <v>#REF!</v>
      </c>
    </row>
    <row r="50" spans="1:15" ht="15">
      <c r="A50" s="185" t="s">
        <v>1137</v>
      </c>
      <c r="B50" s="176" t="s">
        <v>1349</v>
      </c>
      <c r="C50" s="175" t="s">
        <v>652</v>
      </c>
      <c r="D50" s="290">
        <f>LOOKUP(A50,'[2]Hoja1'!$F$2:$F$915,'[2]Hoja1'!$D$2:$D$915)</f>
        <v>40</v>
      </c>
      <c r="E50" s="249">
        <v>14.17</v>
      </c>
      <c r="F50" s="224" t="s">
        <v>1090</v>
      </c>
      <c r="G50" s="187" t="s">
        <v>1090</v>
      </c>
      <c r="O50" s="287" t="e">
        <f>D50/#REF!</f>
        <v>#REF!</v>
      </c>
    </row>
    <row r="51" spans="1:15" ht="15">
      <c r="A51" s="185" t="s">
        <v>1139</v>
      </c>
      <c r="B51" s="176" t="s">
        <v>1140</v>
      </c>
      <c r="C51" s="175" t="s">
        <v>652</v>
      </c>
      <c r="D51" s="290">
        <f>LOOKUP(A51,'[2]Hoja1'!$F$2:$F$915,'[2]Hoja1'!$D$2:$D$915)</f>
        <v>44.4086</v>
      </c>
      <c r="E51" s="249">
        <v>16.667</v>
      </c>
      <c r="F51" s="224" t="s">
        <v>1090</v>
      </c>
      <c r="G51" s="187" t="s">
        <v>1090</v>
      </c>
      <c r="L51" s="15">
        <v>3</v>
      </c>
      <c r="O51" s="287" t="e">
        <f>D51/#REF!</f>
        <v>#REF!</v>
      </c>
    </row>
    <row r="52" spans="1:15" ht="15">
      <c r="A52" s="185" t="s">
        <v>317</v>
      </c>
      <c r="B52" s="176" t="s">
        <v>638</v>
      </c>
      <c r="C52" s="175" t="s">
        <v>602</v>
      </c>
      <c r="D52" s="290">
        <f>LOOKUP(A52,'[2]Hoja1'!$F$2:$F$915,'[2]Hoja1'!$D$2:$D$915)</f>
        <v>25.1</v>
      </c>
      <c r="E52" s="249">
        <v>9.106</v>
      </c>
      <c r="F52" s="223" t="s">
        <v>1090</v>
      </c>
      <c r="G52" s="189"/>
      <c r="H52" s="1" t="s">
        <v>1275</v>
      </c>
      <c r="L52" s="15">
        <v>2</v>
      </c>
      <c r="O52" s="287" t="e">
        <f>D52/#REF!</f>
        <v>#REF!</v>
      </c>
    </row>
    <row r="53" spans="1:15" ht="15">
      <c r="A53" s="185" t="s">
        <v>302</v>
      </c>
      <c r="B53" s="176" t="s">
        <v>614</v>
      </c>
      <c r="C53" s="175" t="s">
        <v>882</v>
      </c>
      <c r="D53" s="290">
        <f>LOOKUP(A53,'[2]Hoja1'!$F$2:$F$915,'[2]Hoja1'!$D$2:$D$915)</f>
        <v>2.5295</v>
      </c>
      <c r="E53" s="249">
        <v>1.149</v>
      </c>
      <c r="F53" s="224" t="s">
        <v>1090</v>
      </c>
      <c r="G53" s="189" t="s">
        <v>1090</v>
      </c>
      <c r="H53" s="1" t="s">
        <v>1400</v>
      </c>
      <c r="L53" s="15">
        <v>2</v>
      </c>
      <c r="O53" s="287" t="e">
        <f>D53/#REF!</f>
        <v>#REF!</v>
      </c>
    </row>
    <row r="54" spans="1:15" ht="15">
      <c r="A54" s="185" t="s">
        <v>314</v>
      </c>
      <c r="B54" s="176" t="s">
        <v>746</v>
      </c>
      <c r="C54" s="175" t="s">
        <v>475</v>
      </c>
      <c r="D54" s="290">
        <f>LOOKUP(A54,'[2]Hoja1'!$F$2:$F$915,'[2]Hoja1'!$D$2:$D$915)</f>
        <v>15.1162</v>
      </c>
      <c r="E54" s="249">
        <v>6.351</v>
      </c>
      <c r="F54" s="224"/>
      <c r="G54" s="189" t="s">
        <v>1090</v>
      </c>
      <c r="H54" s="1" t="s">
        <v>1357</v>
      </c>
      <c r="L54" s="15">
        <v>1</v>
      </c>
      <c r="O54" s="287" t="e">
        <f>D54/#REF!</f>
        <v>#REF!</v>
      </c>
    </row>
    <row r="55" spans="1:15" ht="15">
      <c r="A55" s="193" t="s">
        <v>318</v>
      </c>
      <c r="B55" s="176" t="s">
        <v>931</v>
      </c>
      <c r="C55" s="175" t="s">
        <v>882</v>
      </c>
      <c r="D55" s="290">
        <f>LOOKUP(A55,'[2]Hoja1'!$F$2:$F$915,'[2]Hoja1'!$D$2:$D$915)</f>
        <v>953.57</v>
      </c>
      <c r="E55" s="246">
        <v>334.251</v>
      </c>
      <c r="F55" s="224" t="s">
        <v>1090</v>
      </c>
      <c r="G55" s="194" t="s">
        <v>1090</v>
      </c>
      <c r="H55" s="1" t="s">
        <v>1369</v>
      </c>
      <c r="L55" s="15">
        <v>3</v>
      </c>
      <c r="O55" s="287" t="e">
        <f>D55/#REF!</f>
        <v>#REF!</v>
      </c>
    </row>
    <row r="56" spans="1:15" ht="15" hidden="1">
      <c r="A56" s="193" t="s">
        <v>747</v>
      </c>
      <c r="B56" s="176" t="s">
        <v>1062</v>
      </c>
      <c r="C56" s="175" t="s">
        <v>882</v>
      </c>
      <c r="D56" s="290">
        <f>LOOKUP(A56,'[2]Hoja1'!$F$2:$F$915,'[2]Hoja1'!$D$2:$D$915)</f>
        <v>0</v>
      </c>
      <c r="E56" s="249"/>
      <c r="F56" s="224"/>
      <c r="G56" s="195" t="s">
        <v>1382</v>
      </c>
      <c r="H56" s="1"/>
      <c r="J56" s="155" t="s">
        <v>1381</v>
      </c>
      <c r="L56" s="15">
        <v>1</v>
      </c>
      <c r="O56" s="287" t="e">
        <f>D56/#REF!</f>
        <v>#REF!</v>
      </c>
    </row>
    <row r="57" spans="1:15" ht="15">
      <c r="A57" s="193" t="s">
        <v>748</v>
      </c>
      <c r="B57" s="176" t="s">
        <v>932</v>
      </c>
      <c r="C57" s="175" t="s">
        <v>882</v>
      </c>
      <c r="D57" s="290">
        <f>LOOKUP(A57,'[2]Hoja1'!$F$2:$F$915,'[2]Hoja1'!$D$2:$D$915)</f>
        <v>42.9752</v>
      </c>
      <c r="E57" s="246">
        <v>14.165</v>
      </c>
      <c r="F57" s="224" t="s">
        <v>1090</v>
      </c>
      <c r="G57" s="195" t="s">
        <v>1090</v>
      </c>
      <c r="H57" s="1"/>
      <c r="L57" s="15">
        <v>2</v>
      </c>
      <c r="O57" s="287" t="e">
        <f>D57/#REF!</f>
        <v>#REF!</v>
      </c>
    </row>
    <row r="58" spans="1:15" ht="15">
      <c r="A58" s="193" t="s">
        <v>319</v>
      </c>
      <c r="B58" s="176" t="s">
        <v>649</v>
      </c>
      <c r="C58" s="175" t="s">
        <v>882</v>
      </c>
      <c r="D58" s="290">
        <f>LOOKUP(A58,'[2]Hoja1'!$F$2:$F$915,'[2]Hoja1'!$D$2:$D$915)</f>
        <v>213.3519</v>
      </c>
      <c r="E58" s="246">
        <v>93.331</v>
      </c>
      <c r="F58" s="224" t="s">
        <v>58</v>
      </c>
      <c r="G58" s="194" t="s">
        <v>1090</v>
      </c>
      <c r="H58" s="1"/>
      <c r="L58" s="15">
        <v>3</v>
      </c>
      <c r="O58" s="287" t="e">
        <f>D58/#REF!</f>
        <v>#REF!</v>
      </c>
    </row>
    <row r="59" spans="1:15" ht="15">
      <c r="A59" s="193" t="s">
        <v>320</v>
      </c>
      <c r="B59" s="176" t="s">
        <v>650</v>
      </c>
      <c r="C59" s="175" t="s">
        <v>882</v>
      </c>
      <c r="D59" s="290">
        <f>LOOKUP(A59,'[2]Hoja1'!$F$2:$F$915,'[2]Hoja1'!$D$2:$D$915)</f>
        <v>1037.22</v>
      </c>
      <c r="E59" s="246">
        <v>281.586</v>
      </c>
      <c r="F59" s="224" t="s">
        <v>1090</v>
      </c>
      <c r="G59" s="194" t="s">
        <v>1090</v>
      </c>
      <c r="H59" s="1"/>
      <c r="L59" s="15">
        <v>2</v>
      </c>
      <c r="O59" s="287" t="e">
        <f>D59/#REF!</f>
        <v>#REF!</v>
      </c>
    </row>
    <row r="60" spans="1:15" ht="15">
      <c r="A60" s="185" t="s">
        <v>310</v>
      </c>
      <c r="B60" s="176" t="s">
        <v>751</v>
      </c>
      <c r="C60" s="175" t="s">
        <v>882</v>
      </c>
      <c r="D60" s="290">
        <f>LOOKUP(A60,'[2]Hoja1'!$F$2:$F$915,'[2]Hoja1'!$D$2:$D$915)</f>
        <v>71.9008</v>
      </c>
      <c r="E60" s="249">
        <v>35.537</v>
      </c>
      <c r="F60" s="224" t="s">
        <v>1090</v>
      </c>
      <c r="G60" s="189" t="s">
        <v>1090</v>
      </c>
      <c r="H60" s="1" t="s">
        <v>1399</v>
      </c>
      <c r="L60" s="15">
        <v>1</v>
      </c>
      <c r="O60" s="287" t="e">
        <f>D60/#REF!</f>
        <v>#REF!</v>
      </c>
    </row>
    <row r="61" spans="1:15" ht="15">
      <c r="A61" s="185" t="s">
        <v>297</v>
      </c>
      <c r="B61" s="176" t="s">
        <v>616</v>
      </c>
      <c r="C61" s="175" t="s">
        <v>633</v>
      </c>
      <c r="D61" s="290">
        <f>LOOKUP(A61,'[2]Hoja1'!$F$2:$F$915,'[2]Hoja1'!$D$2:$D$915)</f>
        <v>5.3509</v>
      </c>
      <c r="E61" s="249">
        <v>2.148</v>
      </c>
      <c r="F61" s="224" t="s">
        <v>1090</v>
      </c>
      <c r="G61" s="186" t="s">
        <v>1090</v>
      </c>
      <c r="H61" s="1" t="s">
        <v>1358</v>
      </c>
      <c r="J61" s="15">
        <f>18-16</f>
        <v>2</v>
      </c>
      <c r="L61" s="15">
        <v>3</v>
      </c>
      <c r="O61" s="287" t="e">
        <f>D61/#REF!</f>
        <v>#REF!</v>
      </c>
    </row>
    <row r="62" spans="1:15" ht="15">
      <c r="A62" s="185" t="s">
        <v>311</v>
      </c>
      <c r="B62" s="176" t="s">
        <v>752</v>
      </c>
      <c r="C62" s="175" t="s">
        <v>882</v>
      </c>
      <c r="D62" s="290">
        <f>LOOKUP(A62,'[2]Hoja1'!$F$2:$F$915,'[2]Hoja1'!$D$2:$D$915)</f>
        <v>79.8347</v>
      </c>
      <c r="E62" s="246">
        <v>37.463</v>
      </c>
      <c r="F62" s="224" t="s">
        <v>1090</v>
      </c>
      <c r="G62" s="186" t="s">
        <v>1090</v>
      </c>
      <c r="H62" s="1">
        <v>1097</v>
      </c>
      <c r="I62" s="146" t="s">
        <v>1407</v>
      </c>
      <c r="L62" s="15">
        <v>3</v>
      </c>
      <c r="O62" s="287" t="e">
        <f>D62/#REF!</f>
        <v>#REF!</v>
      </c>
    </row>
    <row r="63" spans="1:15" ht="15">
      <c r="A63" s="185" t="s">
        <v>753</v>
      </c>
      <c r="B63" s="176" t="s">
        <v>754</v>
      </c>
      <c r="C63" s="175" t="s">
        <v>633</v>
      </c>
      <c r="D63" s="290">
        <f>LOOKUP(A63,'[2]Hoja1'!$F$2:$F$915,'[2]Hoja1'!$D$2:$D$915)</f>
        <v>5.4535</v>
      </c>
      <c r="E63" s="251">
        <v>2.238</v>
      </c>
      <c r="F63" s="224" t="s">
        <v>1090</v>
      </c>
      <c r="G63" s="186" t="s">
        <v>1090</v>
      </c>
      <c r="H63" s="1">
        <v>1818</v>
      </c>
      <c r="L63" s="15">
        <v>3</v>
      </c>
      <c r="O63" s="287" t="e">
        <f>D63/#REF!</f>
        <v>#REF!</v>
      </c>
    </row>
    <row r="64" spans="1:15" ht="15">
      <c r="A64" s="185" t="s">
        <v>749</v>
      </c>
      <c r="B64" s="176" t="s">
        <v>750</v>
      </c>
      <c r="C64" s="175" t="s">
        <v>475</v>
      </c>
      <c r="D64" s="290">
        <f>LOOKUP(A64,'[2]Hoja1'!$F$2:$F$915,'[2]Hoja1'!$D$2:$D$915)</f>
        <v>18.3916</v>
      </c>
      <c r="E64" s="249">
        <v>6.425</v>
      </c>
      <c r="F64" s="224" t="s">
        <v>1090</v>
      </c>
      <c r="G64" s="186" t="s">
        <v>1090</v>
      </c>
      <c r="H64" s="1">
        <f>13-121</f>
        <v>-108</v>
      </c>
      <c r="L64" s="15">
        <v>3</v>
      </c>
      <c r="O64" s="287" t="e">
        <f>D64/#REF!</f>
        <v>#REF!</v>
      </c>
    </row>
    <row r="65" spans="1:15" ht="15">
      <c r="A65" s="185" t="s">
        <v>1410</v>
      </c>
      <c r="B65" s="176" t="s">
        <v>1412</v>
      </c>
      <c r="C65" s="175" t="s">
        <v>882</v>
      </c>
      <c r="D65" s="290">
        <f>LOOKUP(A65,'[2]Hoja1'!$F$2:$F$915,'[2]Hoja1'!$D$2:$D$915)</f>
        <v>112.3388</v>
      </c>
      <c r="E65" s="249">
        <v>37.276</v>
      </c>
      <c r="F65" s="224" t="s">
        <v>1090</v>
      </c>
      <c r="G65" s="186" t="s">
        <v>1090</v>
      </c>
      <c r="H65" s="1"/>
      <c r="O65" s="287" t="e">
        <f>D65/#REF!</f>
        <v>#REF!</v>
      </c>
    </row>
    <row r="66" spans="1:15" ht="15">
      <c r="A66" s="185" t="s">
        <v>1411</v>
      </c>
      <c r="B66" s="176" t="s">
        <v>1413</v>
      </c>
      <c r="C66" s="175" t="s">
        <v>882</v>
      </c>
      <c r="D66" s="290">
        <f>LOOKUP(A66,'[2]Hoja1'!$F$2:$F$915,'[2]Hoja1'!$D$2:$D$915)</f>
        <v>49.8182</v>
      </c>
      <c r="E66" s="249">
        <v>19.749</v>
      </c>
      <c r="F66" s="224" t="s">
        <v>1090</v>
      </c>
      <c r="G66" s="186" t="s">
        <v>1090</v>
      </c>
      <c r="H66" s="1"/>
      <c r="O66" s="287" t="e">
        <f>D66/#REF!</f>
        <v>#REF!</v>
      </c>
    </row>
    <row r="67" spans="1:15" ht="15">
      <c r="A67" s="185" t="s">
        <v>881</v>
      </c>
      <c r="B67" s="176" t="s">
        <v>1385</v>
      </c>
      <c r="C67" s="175" t="s">
        <v>882</v>
      </c>
      <c r="D67" s="290">
        <f>LOOKUP(A67,'[2]Hoja1'!$F$2:$F$915,'[2]Hoja1'!$D$2:$D$915)</f>
        <v>7.9339</v>
      </c>
      <c r="E67" s="252">
        <v>3.63</v>
      </c>
      <c r="F67" s="224" t="s">
        <v>1090</v>
      </c>
      <c r="G67" s="186" t="s">
        <v>1090</v>
      </c>
      <c r="H67" s="1"/>
      <c r="L67" s="15">
        <v>1</v>
      </c>
      <c r="O67" s="287" t="e">
        <f>D67/#REF!</f>
        <v>#REF!</v>
      </c>
    </row>
    <row r="68" spans="1:15" ht="15">
      <c r="A68" s="185" t="s">
        <v>1386</v>
      </c>
      <c r="B68" s="176" t="s">
        <v>1387</v>
      </c>
      <c r="C68" s="175" t="s">
        <v>882</v>
      </c>
      <c r="D68" s="290">
        <f>LOOKUP(A68,'[2]Hoja1'!$F$2:$F$915,'[2]Hoja1'!$D$2:$D$915)</f>
        <v>10.7438</v>
      </c>
      <c r="E68" s="252">
        <v>5.08</v>
      </c>
      <c r="F68" s="224" t="s">
        <v>1090</v>
      </c>
      <c r="G68" s="186" t="s">
        <v>1090</v>
      </c>
      <c r="H68" s="1"/>
      <c r="O68" s="287" t="e">
        <f>D68/#REF!</f>
        <v>#REF!</v>
      </c>
    </row>
    <row r="69" spans="1:15" ht="15">
      <c r="A69" s="185" t="s">
        <v>63</v>
      </c>
      <c r="B69" s="177" t="s">
        <v>102</v>
      </c>
      <c r="C69" s="175" t="s">
        <v>882</v>
      </c>
      <c r="D69" s="290">
        <f>LOOKUP(A69,'[2]Hoja1'!$F$2:$F$915,'[2]Hoja1'!$D$2:$D$915)</f>
        <v>1.36</v>
      </c>
      <c r="E69" s="252">
        <v>0.27</v>
      </c>
      <c r="F69" s="224"/>
      <c r="G69" s="186"/>
      <c r="H69" s="1"/>
      <c r="O69" s="287" t="e">
        <f>D69/#REF!</f>
        <v>#REF!</v>
      </c>
    </row>
    <row r="70" spans="1:15" ht="15">
      <c r="A70" s="185" t="s">
        <v>887</v>
      </c>
      <c r="B70" s="176" t="s">
        <v>715</v>
      </c>
      <c r="C70" s="175" t="s">
        <v>882</v>
      </c>
      <c r="D70" s="290">
        <f>LOOKUP(A70,'[2]Hoja1'!$F$2:$F$915,'[2]Hoja1'!$D$2:$D$915)</f>
        <v>252</v>
      </c>
      <c r="E70" s="253">
        <v>99.174</v>
      </c>
      <c r="F70" s="226" t="s">
        <v>1090</v>
      </c>
      <c r="G70" s="189" t="s">
        <v>1090</v>
      </c>
      <c r="H70" s="1">
        <f>0.78/1.21</f>
        <v>0.6446280991735538</v>
      </c>
      <c r="L70" s="15">
        <v>1</v>
      </c>
      <c r="O70" s="287" t="e">
        <f>D70/#REF!</f>
        <v>#REF!</v>
      </c>
    </row>
    <row r="71" spans="1:15" ht="15">
      <c r="A71" s="185" t="s">
        <v>888</v>
      </c>
      <c r="B71" s="176" t="s">
        <v>889</v>
      </c>
      <c r="C71" s="175" t="s">
        <v>882</v>
      </c>
      <c r="D71" s="290">
        <f>LOOKUP(A71,'[2]Hoja1'!$F$2:$F$915,'[2]Hoja1'!$D$2:$D$915)</f>
        <v>36.31</v>
      </c>
      <c r="E71" s="254">
        <v>25.564</v>
      </c>
      <c r="F71" s="225" t="s">
        <v>1090</v>
      </c>
      <c r="G71" s="186" t="s">
        <v>1090</v>
      </c>
      <c r="H71" s="1" t="s">
        <v>1268</v>
      </c>
      <c r="L71" s="15">
        <v>3</v>
      </c>
      <c r="O71" s="287" t="e">
        <f>D71/#REF!</f>
        <v>#REF!</v>
      </c>
    </row>
    <row r="72" spans="1:15" ht="15">
      <c r="A72" s="185" t="s">
        <v>123</v>
      </c>
      <c r="B72" s="176" t="s">
        <v>124</v>
      </c>
      <c r="C72" s="175" t="s">
        <v>475</v>
      </c>
      <c r="D72" s="290">
        <f>LOOKUP(A72,'[2]Hoja1'!$F$2:$F$915,'[2]Hoja1'!$D$2:$D$915)</f>
        <v>2.5463</v>
      </c>
      <c r="E72" s="254"/>
      <c r="F72" s="225"/>
      <c r="G72" s="186"/>
      <c r="H72" s="1"/>
      <c r="O72" s="287" t="e">
        <f>D72/#REF!</f>
        <v>#REF!</v>
      </c>
    </row>
    <row r="73" spans="1:15" ht="15">
      <c r="A73" s="185" t="s">
        <v>341</v>
      </c>
      <c r="B73" s="176" t="s">
        <v>755</v>
      </c>
      <c r="C73" s="175" t="s">
        <v>475</v>
      </c>
      <c r="D73" s="290">
        <f>LOOKUP(A73,'[2]Hoja1'!$F$2:$F$915,'[2]Hoja1'!$D$2:$D$915)</f>
        <v>1.5524</v>
      </c>
      <c r="E73" s="246">
        <v>0.552</v>
      </c>
      <c r="F73" s="223" t="s">
        <v>1090</v>
      </c>
      <c r="G73" s="186" t="s">
        <v>1090</v>
      </c>
      <c r="H73" s="1" t="s">
        <v>1351</v>
      </c>
      <c r="L73" s="15">
        <v>3</v>
      </c>
      <c r="O73" s="287" t="e">
        <f>D73/#REF!</f>
        <v>#REF!</v>
      </c>
    </row>
    <row r="74" spans="1:15" ht="15">
      <c r="A74" s="185" t="s">
        <v>59</v>
      </c>
      <c r="B74" s="177" t="s">
        <v>60</v>
      </c>
      <c r="C74" s="175" t="s">
        <v>475</v>
      </c>
      <c r="D74" s="290">
        <f>LOOKUP(A74,'[2]Hoja1'!$F$2:$F$915,'[2]Hoja1'!$D$2:$D$915)</f>
        <v>8.02</v>
      </c>
      <c r="E74" s="246">
        <v>2.807</v>
      </c>
      <c r="F74" s="223"/>
      <c r="G74" s="186"/>
      <c r="H74" s="1"/>
      <c r="O74" s="287" t="e">
        <f>D74/#REF!</f>
        <v>#REF!</v>
      </c>
    </row>
    <row r="75" spans="1:15" ht="15">
      <c r="A75" s="185" t="s">
        <v>62</v>
      </c>
      <c r="B75" s="177" t="s">
        <v>1418</v>
      </c>
      <c r="C75" s="175" t="s">
        <v>882</v>
      </c>
      <c r="D75" s="290">
        <f>LOOKUP(A75,'[2]Hoja1'!$F$2:$F$915,'[2]Hoja1'!$D$2:$D$915)</f>
        <v>0.9</v>
      </c>
      <c r="E75" s="246">
        <v>0.426</v>
      </c>
      <c r="F75" s="223"/>
      <c r="G75" s="186"/>
      <c r="H75" s="1"/>
      <c r="O75" s="287" t="e">
        <f>D75/#REF!</f>
        <v>#REF!</v>
      </c>
    </row>
    <row r="76" spans="1:15" ht="15">
      <c r="A76" s="185" t="s">
        <v>91</v>
      </c>
      <c r="B76" s="177" t="s">
        <v>92</v>
      </c>
      <c r="C76" s="175" t="s">
        <v>882</v>
      </c>
      <c r="D76" s="290">
        <f>LOOKUP(A76,'[2]Hoja1'!$F$2:$F$915,'[2]Hoja1'!$D$2:$D$915)</f>
        <v>1.94</v>
      </c>
      <c r="E76" s="246">
        <v>0.83</v>
      </c>
      <c r="F76" s="223"/>
      <c r="G76" s="186"/>
      <c r="H76" s="1"/>
      <c r="O76" s="287" t="e">
        <f>D76/#REF!</f>
        <v>#REF!</v>
      </c>
    </row>
    <row r="77" spans="1:15" ht="15">
      <c r="A77" s="185" t="s">
        <v>89</v>
      </c>
      <c r="B77" s="177" t="s">
        <v>90</v>
      </c>
      <c r="C77" s="175" t="s">
        <v>882</v>
      </c>
      <c r="D77" s="290">
        <f>LOOKUP(A77,'[2]Hoja1'!$F$2:$F$915,'[2]Hoja1'!$D$2:$D$915)</f>
        <v>0.91</v>
      </c>
      <c r="E77" s="246">
        <v>0.39</v>
      </c>
      <c r="F77" s="223"/>
      <c r="G77" s="186"/>
      <c r="H77" s="1"/>
      <c r="O77" s="287" t="e">
        <f>D77/#REF!</f>
        <v>#REF!</v>
      </c>
    </row>
    <row r="78" spans="1:15" ht="15">
      <c r="A78" s="185" t="s">
        <v>94</v>
      </c>
      <c r="B78" s="177" t="s">
        <v>95</v>
      </c>
      <c r="C78" s="175" t="s">
        <v>882</v>
      </c>
      <c r="D78" s="290">
        <f>LOOKUP(A78,'[2]Hoja1'!$F$2:$F$915,'[2]Hoja1'!$D$2:$D$915)</f>
        <v>3.62</v>
      </c>
      <c r="E78" s="246">
        <v>1.3</v>
      </c>
      <c r="F78" s="223"/>
      <c r="G78" s="186"/>
      <c r="H78" s="1"/>
      <c r="O78" s="287" t="e">
        <f>D78/#REF!</f>
        <v>#REF!</v>
      </c>
    </row>
    <row r="79" spans="1:15" ht="15">
      <c r="A79" s="185" t="s">
        <v>338</v>
      </c>
      <c r="B79" s="176" t="s">
        <v>618</v>
      </c>
      <c r="C79" s="175" t="s">
        <v>882</v>
      </c>
      <c r="D79" s="290">
        <f>LOOKUP(A79,'[2]Hoja1'!$F$2:$F$915,'[2]Hoja1'!$D$2:$D$915)</f>
        <v>1.97</v>
      </c>
      <c r="E79" s="246">
        <v>0.798</v>
      </c>
      <c r="F79" s="223" t="s">
        <v>1090</v>
      </c>
      <c r="G79" s="186" t="s">
        <v>1090</v>
      </c>
      <c r="H79" s="1"/>
      <c r="L79" s="15">
        <v>3</v>
      </c>
      <c r="O79" s="287" t="e">
        <f>D79/#REF!</f>
        <v>#REF!</v>
      </c>
    </row>
    <row r="80" spans="1:15" ht="15">
      <c r="A80" s="185" t="s">
        <v>337</v>
      </c>
      <c r="B80" s="176" t="s">
        <v>933</v>
      </c>
      <c r="C80" s="175" t="s">
        <v>882</v>
      </c>
      <c r="D80" s="290">
        <f>LOOKUP(A80,'[2]Hoja1'!$F$2:$F$915,'[2]Hoja1'!$D$2:$D$915)</f>
        <v>14.83</v>
      </c>
      <c r="E80" s="246">
        <v>5.395</v>
      </c>
      <c r="F80" s="223" t="s">
        <v>1090</v>
      </c>
      <c r="G80" s="186" t="s">
        <v>1090</v>
      </c>
      <c r="H80" s="1"/>
      <c r="L80" s="15">
        <v>3</v>
      </c>
      <c r="O80" s="287" t="e">
        <f>D80/#REF!</f>
        <v>#REF!</v>
      </c>
    </row>
    <row r="81" spans="1:15" ht="15">
      <c r="A81" s="196" t="s">
        <v>105</v>
      </c>
      <c r="B81" s="176" t="s">
        <v>75</v>
      </c>
      <c r="C81" s="178" t="s">
        <v>882</v>
      </c>
      <c r="D81" s="290">
        <f>LOOKUP(A81,'[2]Hoja1'!$F$2:$F$915,'[2]Hoja1'!$D$2:$D$915)</f>
        <v>16.89</v>
      </c>
      <c r="E81" s="246">
        <v>6.46</v>
      </c>
      <c r="F81" s="227"/>
      <c r="G81" s="189"/>
      <c r="H81" s="1"/>
      <c r="O81" s="287" t="e">
        <f>D81/#REF!</f>
        <v>#REF!</v>
      </c>
    </row>
    <row r="82" spans="1:15" ht="15">
      <c r="A82" s="185" t="s">
        <v>340</v>
      </c>
      <c r="B82" s="176" t="s">
        <v>934</v>
      </c>
      <c r="C82" s="175" t="s">
        <v>882</v>
      </c>
      <c r="D82" s="290">
        <f>LOOKUP(A82,'[2]Hoja1'!$F$2:$F$915,'[2]Hoja1'!$D$2:$D$915)</f>
        <v>9.13</v>
      </c>
      <c r="E82" s="246">
        <v>4.059</v>
      </c>
      <c r="F82" s="223" t="s">
        <v>1090</v>
      </c>
      <c r="G82" s="186" t="s">
        <v>1090</v>
      </c>
      <c r="H82" s="1"/>
      <c r="L82" s="15">
        <v>3</v>
      </c>
      <c r="O82" s="287" t="e">
        <f>D82/#REF!</f>
        <v>#REF!</v>
      </c>
    </row>
    <row r="83" spans="1:15" ht="15">
      <c r="A83" s="185" t="s">
        <v>339</v>
      </c>
      <c r="B83" s="176" t="s">
        <v>617</v>
      </c>
      <c r="C83" s="175" t="s">
        <v>882</v>
      </c>
      <c r="D83" s="290">
        <f>LOOKUP(A83,'[2]Hoja1'!$F$2:$F$915,'[2]Hoja1'!$D$2:$D$915)</f>
        <v>10.95</v>
      </c>
      <c r="E83" s="249">
        <v>2.363</v>
      </c>
      <c r="F83" s="223" t="s">
        <v>1090</v>
      </c>
      <c r="G83" s="186" t="s">
        <v>1090</v>
      </c>
      <c r="H83" s="1"/>
      <c r="L83" s="15">
        <v>3</v>
      </c>
      <c r="O83" s="287" t="e">
        <f>D83/#REF!</f>
        <v>#REF!</v>
      </c>
    </row>
    <row r="84" spans="1:15" ht="15">
      <c r="A84" s="185" t="s">
        <v>342</v>
      </c>
      <c r="B84" s="176" t="s">
        <v>655</v>
      </c>
      <c r="C84" s="175" t="s">
        <v>882</v>
      </c>
      <c r="D84" s="290">
        <f>LOOKUP(A84,'[2]Hoja1'!$F$2:$F$915,'[2]Hoja1'!$D$2:$D$915)</f>
        <v>14000</v>
      </c>
      <c r="E84" s="254">
        <f>3500/1.21</f>
        <v>2892.5619834710747</v>
      </c>
      <c r="F84" s="225" t="s">
        <v>1090</v>
      </c>
      <c r="G84" s="189"/>
      <c r="H84" s="1"/>
      <c r="L84" s="15">
        <v>2</v>
      </c>
      <c r="O84" s="287" t="e">
        <f>D84/#REF!</f>
        <v>#REF!</v>
      </c>
    </row>
    <row r="85" spans="1:15" ht="15">
      <c r="A85" s="196" t="s">
        <v>106</v>
      </c>
      <c r="B85" s="177" t="s">
        <v>1414</v>
      </c>
      <c r="C85" s="178" t="s">
        <v>882</v>
      </c>
      <c r="D85" s="290">
        <f>LOOKUP(A85,'[2]Hoja1'!$F$2:$F$915,'[2]Hoja1'!$D$2:$D$915)</f>
        <v>21.99</v>
      </c>
      <c r="E85" s="255"/>
      <c r="F85" s="239">
        <v>12.521</v>
      </c>
      <c r="G85" s="189"/>
      <c r="H85" s="1"/>
      <c r="O85" s="287" t="e">
        <f>D85/#REF!</f>
        <v>#REF!</v>
      </c>
    </row>
    <row r="86" spans="1:15" ht="15">
      <c r="A86" s="196" t="s">
        <v>107</v>
      </c>
      <c r="B86" s="177" t="s">
        <v>1415</v>
      </c>
      <c r="C86" s="178" t="s">
        <v>882</v>
      </c>
      <c r="D86" s="290">
        <f>LOOKUP(A86,'[2]Hoja1'!$F$2:$F$915,'[2]Hoja1'!$D$2:$D$915)</f>
        <v>141.88</v>
      </c>
      <c r="E86" s="255"/>
      <c r="F86" s="239">
        <f>17.564/1.21</f>
        <v>14.515702479338843</v>
      </c>
      <c r="G86" s="189"/>
      <c r="H86" s="1"/>
      <c r="O86" s="287" t="e">
        <f>D86/#REF!</f>
        <v>#REF!</v>
      </c>
    </row>
    <row r="87" spans="1:15" ht="15" hidden="1">
      <c r="A87" s="196" t="s">
        <v>108</v>
      </c>
      <c r="B87" s="177" t="s">
        <v>1416</v>
      </c>
      <c r="C87" s="178" t="s">
        <v>882</v>
      </c>
      <c r="D87" s="290">
        <f>LOOKUP(A87,'[2]Hoja1'!$F$2:$F$915,'[2]Hoja1'!$D$2:$D$915)</f>
        <v>0</v>
      </c>
      <c r="E87" s="255"/>
      <c r="F87" s="239">
        <f>13.254/1.21</f>
        <v>10.953719008264462</v>
      </c>
      <c r="G87" s="189"/>
      <c r="H87" s="1"/>
      <c r="O87" s="287" t="e">
        <f>D87/#REF!</f>
        <v>#REF!</v>
      </c>
    </row>
    <row r="88" spans="1:15" ht="15" hidden="1">
      <c r="A88" s="196" t="s">
        <v>109</v>
      </c>
      <c r="B88" s="244" t="s">
        <v>1419</v>
      </c>
      <c r="C88" s="178" t="s">
        <v>882</v>
      </c>
      <c r="D88" s="290">
        <f>LOOKUP(A88,'[2]Hoja1'!$F$2:$F$915,'[2]Hoja1'!$D$2:$D$915)</f>
        <v>0</v>
      </c>
      <c r="E88" s="255"/>
      <c r="F88" s="240">
        <v>0.27</v>
      </c>
      <c r="G88" s="189"/>
      <c r="H88" s="1"/>
      <c r="O88" s="287" t="e">
        <f>D88/#REF!</f>
        <v>#REF!</v>
      </c>
    </row>
    <row r="89" spans="1:15" ht="15" hidden="1">
      <c r="A89" s="196" t="s">
        <v>110</v>
      </c>
      <c r="B89" s="244" t="s">
        <v>1420</v>
      </c>
      <c r="C89" s="178" t="s">
        <v>882</v>
      </c>
      <c r="D89" s="290">
        <f>LOOKUP(A89,'[2]Hoja1'!$F$2:$F$915,'[2]Hoja1'!$D$2:$D$915)</f>
        <v>0</v>
      </c>
      <c r="E89" s="255"/>
      <c r="F89" s="240">
        <v>0.63</v>
      </c>
      <c r="G89" s="189"/>
      <c r="H89" s="1"/>
      <c r="O89" s="287" t="e">
        <f>D89/#REF!</f>
        <v>#REF!</v>
      </c>
    </row>
    <row r="90" spans="1:15" ht="15">
      <c r="A90" s="196" t="s">
        <v>111</v>
      </c>
      <c r="B90" s="177" t="s">
        <v>1421</v>
      </c>
      <c r="C90" s="178" t="s">
        <v>882</v>
      </c>
      <c r="D90" s="290">
        <f>LOOKUP(A90,'[2]Hoja1'!$F$2:$F$915,'[2]Hoja1'!$D$2:$D$915)</f>
        <v>0.8</v>
      </c>
      <c r="E90" s="255"/>
      <c r="F90" s="240">
        <f>0.443/1.21</f>
        <v>0.36611570247933883</v>
      </c>
      <c r="G90" s="189"/>
      <c r="H90" s="1"/>
      <c r="O90" s="287" t="e">
        <f>D90/#REF!</f>
        <v>#REF!</v>
      </c>
    </row>
    <row r="91" spans="1:15" ht="15">
      <c r="A91" s="196" t="s">
        <v>112</v>
      </c>
      <c r="B91" s="177" t="s">
        <v>1422</v>
      </c>
      <c r="C91" s="178" t="s">
        <v>882</v>
      </c>
      <c r="D91" s="290">
        <f>LOOKUP(A91,'[2]Hoja1'!$F$2:$F$915,'[2]Hoja1'!$D$2:$D$915)</f>
        <v>88.0515</v>
      </c>
      <c r="E91" s="255"/>
      <c r="F91" s="240">
        <f>3.21/1.21</f>
        <v>2.6528925619834713</v>
      </c>
      <c r="G91" s="189"/>
      <c r="H91" s="1"/>
      <c r="O91" s="287" t="e">
        <f>D91/#REF!</f>
        <v>#REF!</v>
      </c>
    </row>
    <row r="92" spans="1:15" ht="13.5" customHeight="1" hidden="1" thickBot="1">
      <c r="A92" s="243" t="s">
        <v>113</v>
      </c>
      <c r="B92" s="177" t="s">
        <v>1423</v>
      </c>
      <c r="C92" s="178" t="s">
        <v>882</v>
      </c>
      <c r="D92" s="290">
        <f>LOOKUP(A92,'[2]Hoja1'!$F$2:$F$915,'[2]Hoja1'!$D$2:$D$915)</f>
        <v>0</v>
      </c>
      <c r="E92" s="255"/>
      <c r="F92" s="241">
        <f>5.51/1.21</f>
        <v>4.553719008264463</v>
      </c>
      <c r="G92" s="189"/>
      <c r="H92" s="1"/>
      <c r="O92" s="287" t="e">
        <f>D92/#REF!</f>
        <v>#REF!</v>
      </c>
    </row>
    <row r="93" spans="1:15" ht="13.5" customHeight="1" hidden="1" thickBot="1">
      <c r="A93" s="243" t="s">
        <v>114</v>
      </c>
      <c r="B93" s="177" t="s">
        <v>1424</v>
      </c>
      <c r="C93" s="178" t="s">
        <v>882</v>
      </c>
      <c r="D93" s="290">
        <f>LOOKUP(A93,'[2]Hoja1'!$F$2:$F$915,'[2]Hoja1'!$D$2:$D$915)</f>
        <v>0</v>
      </c>
      <c r="E93" s="255"/>
      <c r="F93" s="241">
        <f>6.76/1.21</f>
        <v>5.586776859504132</v>
      </c>
      <c r="G93" s="189"/>
      <c r="H93" s="1"/>
      <c r="O93" s="287" t="e">
        <f>D93/#REF!</f>
        <v>#REF!</v>
      </c>
    </row>
    <row r="94" spans="1:15" ht="15" hidden="1">
      <c r="A94" s="243" t="s">
        <v>115</v>
      </c>
      <c r="B94" s="177" t="s">
        <v>1425</v>
      </c>
      <c r="C94" s="178" t="s">
        <v>882</v>
      </c>
      <c r="D94" s="290">
        <f>LOOKUP(A94,'[2]Hoja1'!$F$2:$F$915,'[2]Hoja1'!$D$2:$D$915)</f>
        <v>0</v>
      </c>
      <c r="E94" s="255"/>
      <c r="F94" s="241">
        <f>5.683/1.21</f>
        <v>4.696694214876033</v>
      </c>
      <c r="G94" s="189"/>
      <c r="H94" s="1"/>
      <c r="O94" s="287" t="e">
        <f>D94/#REF!</f>
        <v>#REF!</v>
      </c>
    </row>
    <row r="95" spans="1:15" ht="15">
      <c r="A95" s="196" t="s">
        <v>116</v>
      </c>
      <c r="B95" s="177" t="s">
        <v>1426</v>
      </c>
      <c r="C95" s="178" t="s">
        <v>882</v>
      </c>
      <c r="D95" s="290">
        <f>LOOKUP(A95,'[2]Hoja1'!$F$2:$F$915,'[2]Hoja1'!$D$2:$D$915)</f>
        <v>0.76</v>
      </c>
      <c r="E95" s="255"/>
      <c r="F95" s="240">
        <f>0.39/1.21</f>
        <v>0.3223140495867769</v>
      </c>
      <c r="G95" s="189"/>
      <c r="H95" s="1"/>
      <c r="O95" s="287" t="e">
        <f>D95/#REF!</f>
        <v>#REF!</v>
      </c>
    </row>
    <row r="96" spans="1:15" ht="15">
      <c r="A96" s="196" t="s">
        <v>117</v>
      </c>
      <c r="B96" s="177" t="s">
        <v>1427</v>
      </c>
      <c r="C96" s="178" t="s">
        <v>882</v>
      </c>
      <c r="D96" s="290">
        <f>LOOKUP(A96,'[2]Hoja1'!$F$2:$F$915,'[2]Hoja1'!$D$2:$D$915)</f>
        <v>1.49</v>
      </c>
      <c r="E96" s="255"/>
      <c r="F96" s="240">
        <f>0.755/1.21</f>
        <v>0.6239669421487604</v>
      </c>
      <c r="G96" s="189"/>
      <c r="H96" s="1"/>
      <c r="O96" s="287" t="e">
        <f>D96/#REF!</f>
        <v>#REF!</v>
      </c>
    </row>
    <row r="97" spans="1:15" ht="15">
      <c r="A97" s="196" t="s">
        <v>118</v>
      </c>
      <c r="B97" s="177" t="s">
        <v>1428</v>
      </c>
      <c r="C97" s="178" t="s">
        <v>882</v>
      </c>
      <c r="D97" s="290">
        <f>LOOKUP(A97,'[2]Hoja1'!$F$2:$F$915,'[2]Hoja1'!$D$2:$D$915)</f>
        <v>2.07</v>
      </c>
      <c r="E97" s="255"/>
      <c r="F97" s="240">
        <f>1.079/1.21</f>
        <v>0.8917355371900826</v>
      </c>
      <c r="G97" s="189"/>
      <c r="H97" s="1"/>
      <c r="O97" s="287" t="e">
        <f>D97/#REF!</f>
        <v>#REF!</v>
      </c>
    </row>
    <row r="98" spans="1:15" ht="15" hidden="1">
      <c r="A98" s="196" t="s">
        <v>119</v>
      </c>
      <c r="B98" s="244" t="s">
        <v>1429</v>
      </c>
      <c r="C98" s="178" t="s">
        <v>882</v>
      </c>
      <c r="D98" s="290">
        <f>LOOKUP(A98,'[2]Hoja1'!$F$2:$F$915,'[2]Hoja1'!$D$2:$D$915)</f>
        <v>2.4818</v>
      </c>
      <c r="E98" s="255"/>
      <c r="F98" s="241">
        <f>E81</f>
        <v>6.46</v>
      </c>
      <c r="G98" s="189"/>
      <c r="H98" s="1"/>
      <c r="O98" s="287" t="e">
        <f>D98/#REF!</f>
        <v>#REF!</v>
      </c>
    </row>
    <row r="99" spans="1:15" ht="15">
      <c r="A99" s="196" t="s">
        <v>120</v>
      </c>
      <c r="B99" s="177" t="s">
        <v>1430</v>
      </c>
      <c r="C99" s="178" t="s">
        <v>882</v>
      </c>
      <c r="D99" s="290">
        <f>LOOKUP(A99,'[2]Hoja1'!$F$2:$F$915,'[2]Hoja1'!$D$2:$D$915)</f>
        <v>0.91</v>
      </c>
      <c r="E99" s="255"/>
      <c r="F99" s="240">
        <v>0.28</v>
      </c>
      <c r="G99" s="189"/>
      <c r="H99" s="1"/>
      <c r="O99" s="287" t="e">
        <f>D99/#REF!</f>
        <v>#REF!</v>
      </c>
    </row>
    <row r="100" spans="1:15" ht="15" hidden="1">
      <c r="A100" s="243" t="s">
        <v>1431</v>
      </c>
      <c r="B100" s="177" t="s">
        <v>1432</v>
      </c>
      <c r="C100" s="178" t="s">
        <v>882</v>
      </c>
      <c r="D100" s="290">
        <f>LOOKUP(A100,'[2]Hoja1'!$F$2:$F$915,'[2]Hoja1'!$D$2:$D$915)</f>
        <v>1.338</v>
      </c>
      <c r="E100" s="255">
        <f>E77</f>
        <v>0.39</v>
      </c>
      <c r="F100" s="241"/>
      <c r="G100" s="189"/>
      <c r="H100" s="1"/>
      <c r="O100" s="287" t="e">
        <f>D100/#REF!</f>
        <v>#REF!</v>
      </c>
    </row>
    <row r="101" spans="1:15" ht="15">
      <c r="A101" s="196" t="s">
        <v>121</v>
      </c>
      <c r="B101" s="177" t="s">
        <v>1433</v>
      </c>
      <c r="C101" s="178" t="s">
        <v>882</v>
      </c>
      <c r="D101" s="290">
        <f>LOOKUP(A101,'[2]Hoja1'!$F$2:$F$915,'[2]Hoja1'!$D$2:$D$915)</f>
        <v>4.1</v>
      </c>
      <c r="E101" s="255"/>
      <c r="F101" s="240">
        <v>1.66</v>
      </c>
      <c r="G101" s="189"/>
      <c r="H101" s="1"/>
      <c r="O101" s="287" t="e">
        <f>D101/#REF!</f>
        <v>#REF!</v>
      </c>
    </row>
    <row r="102" spans="1:15" ht="15" hidden="1">
      <c r="A102" s="243" t="s">
        <v>1434</v>
      </c>
      <c r="B102" s="177" t="s">
        <v>1435</v>
      </c>
      <c r="C102" s="178" t="s">
        <v>882</v>
      </c>
      <c r="D102" s="290">
        <f>LOOKUP(A102,'[2]Hoja1'!$F$2:$F$915,'[2]Hoja1'!$D$2:$D$915)</f>
        <v>1.338</v>
      </c>
      <c r="E102" s="256">
        <f>E78</f>
        <v>1.3</v>
      </c>
      <c r="F102" s="241"/>
      <c r="G102" s="189"/>
      <c r="H102" s="1"/>
      <c r="O102" s="287" t="e">
        <f>D102/#REF!</f>
        <v>#REF!</v>
      </c>
    </row>
    <row r="103" spans="1:15" ht="15" hidden="1">
      <c r="A103" s="243" t="s">
        <v>1436</v>
      </c>
      <c r="B103" s="177" t="s">
        <v>1437</v>
      </c>
      <c r="C103" s="178" t="s">
        <v>882</v>
      </c>
      <c r="D103" s="290">
        <f>LOOKUP(A103,'[2]Hoja1'!$F$2:$F$915,'[2]Hoja1'!$D$2:$D$915)</f>
        <v>1.338</v>
      </c>
      <c r="E103" s="255">
        <f>E76</f>
        <v>0.83</v>
      </c>
      <c r="F103" s="241"/>
      <c r="G103" s="197"/>
      <c r="H103" s="1"/>
      <c r="O103" s="287" t="e">
        <f>D103/#REF!</f>
        <v>#REF!</v>
      </c>
    </row>
    <row r="104" spans="1:15" ht="15">
      <c r="A104" s="196" t="s">
        <v>61</v>
      </c>
      <c r="B104" s="177" t="s">
        <v>1417</v>
      </c>
      <c r="C104" s="178" t="s">
        <v>882</v>
      </c>
      <c r="D104" s="290">
        <f>LOOKUP(A104,'[2]Hoja1'!$F$2:$F$915,'[2]Hoja1'!$D$2:$D$915)</f>
        <v>1.338</v>
      </c>
      <c r="E104" s="255"/>
      <c r="F104" s="239">
        <v>0.325</v>
      </c>
      <c r="G104" s="197"/>
      <c r="H104" s="1"/>
      <c r="O104" s="287" t="e">
        <f>D104/#REF!</f>
        <v>#REF!</v>
      </c>
    </row>
    <row r="105" spans="1:15" ht="15">
      <c r="A105" s="185" t="s">
        <v>619</v>
      </c>
      <c r="B105" s="176" t="s">
        <v>620</v>
      </c>
      <c r="C105" s="175" t="s">
        <v>882</v>
      </c>
      <c r="D105" s="290">
        <f>LOOKUP(A105,'[2]Hoja1'!$F$2:$F$915,'[2]Hoja1'!$D$2:$D$915)</f>
        <v>243063.75</v>
      </c>
      <c r="E105" s="257">
        <v>72479.3359</v>
      </c>
      <c r="F105" s="228"/>
      <c r="G105" s="189"/>
      <c r="H105" s="1" t="s">
        <v>1269</v>
      </c>
      <c r="L105" s="15">
        <v>1</v>
      </c>
      <c r="O105" s="287" t="e">
        <f>D105/#REF!</f>
        <v>#REF!</v>
      </c>
    </row>
    <row r="106" spans="1:15" ht="15" hidden="1">
      <c r="A106" s="185" t="s">
        <v>1141</v>
      </c>
      <c r="B106" s="176" t="s">
        <v>620</v>
      </c>
      <c r="C106" s="175" t="s">
        <v>589</v>
      </c>
      <c r="D106" s="290">
        <f>LOOKUP(A106,'[2]Hoja1'!$F$2:$F$915,'[2]Hoja1'!$D$2:$D$915)</f>
        <v>0</v>
      </c>
      <c r="E106" s="257">
        <v>0</v>
      </c>
      <c r="F106" s="228"/>
      <c r="G106" s="198"/>
      <c r="H106" s="1"/>
      <c r="K106" s="15">
        <f>87600/1.21</f>
        <v>72396.69421487603</v>
      </c>
      <c r="O106" s="287" t="e">
        <f>D106/#REF!</f>
        <v>#REF!</v>
      </c>
    </row>
    <row r="107" spans="1:15" ht="15">
      <c r="A107" s="185" t="s">
        <v>621</v>
      </c>
      <c r="B107" s="176" t="s">
        <v>622</v>
      </c>
      <c r="C107" s="175" t="s">
        <v>882</v>
      </c>
      <c r="D107" s="290">
        <f>LOOKUP(A107,'[2]Hoja1'!$F$2:$F$915,'[2]Hoja1'!$D$2:$D$915)</f>
        <v>39217.4</v>
      </c>
      <c r="E107" s="257">
        <v>12231.4053</v>
      </c>
      <c r="F107" s="224"/>
      <c r="G107" s="198"/>
      <c r="H107" s="1" t="s">
        <v>1269</v>
      </c>
      <c r="L107" s="15">
        <v>1</v>
      </c>
      <c r="O107" s="287" t="e">
        <f>D107/#REF!</f>
        <v>#REF!</v>
      </c>
    </row>
    <row r="108" spans="1:15" ht="15">
      <c r="A108" s="185" t="s">
        <v>290</v>
      </c>
      <c r="B108" s="176" t="s">
        <v>983</v>
      </c>
      <c r="C108" s="175" t="s">
        <v>589</v>
      </c>
      <c r="D108" s="290">
        <f>LOOKUP(A108,'[2]Hoja1'!$F$2:$F$915,'[2]Hoja1'!$D$2:$D$915)</f>
        <v>195.2</v>
      </c>
      <c r="E108" s="257">
        <v>72.429</v>
      </c>
      <c r="F108" s="229"/>
      <c r="G108" s="198"/>
      <c r="H108" s="1"/>
      <c r="O108" s="287" t="e">
        <f>D108/#REF!</f>
        <v>#REF!</v>
      </c>
    </row>
    <row r="109" spans="1:15" ht="15">
      <c r="A109" s="185" t="s">
        <v>295</v>
      </c>
      <c r="B109" s="176" t="s">
        <v>984</v>
      </c>
      <c r="C109" s="175" t="s">
        <v>589</v>
      </c>
      <c r="D109" s="290">
        <f>LOOKUP(A109,'[2]Hoja1'!$F$2:$F$915,'[2]Hoja1'!$D$2:$D$915)</f>
        <v>262.81</v>
      </c>
      <c r="E109" s="257">
        <v>105.05</v>
      </c>
      <c r="F109" s="229"/>
      <c r="G109" s="189"/>
      <c r="H109" s="1"/>
      <c r="L109" s="15">
        <v>1</v>
      </c>
      <c r="O109" s="287" t="e">
        <f>D109/#REF!</f>
        <v>#REF!</v>
      </c>
    </row>
    <row r="110" spans="1:15" ht="15">
      <c r="A110" s="185" t="s">
        <v>623</v>
      </c>
      <c r="B110" s="176" t="s">
        <v>985</v>
      </c>
      <c r="C110" s="175" t="s">
        <v>589</v>
      </c>
      <c r="D110" s="290">
        <f>LOOKUP(A110,'[2]Hoja1'!$F$2:$F$915,'[2]Hoja1'!$D$2:$D$915)</f>
        <v>150.49</v>
      </c>
      <c r="E110" s="257">
        <v>63.716</v>
      </c>
      <c r="F110" s="229"/>
      <c r="G110" s="199"/>
      <c r="H110" s="1"/>
      <c r="L110" s="15">
        <v>1</v>
      </c>
      <c r="O110" s="287" t="e">
        <f>D110/#REF!</f>
        <v>#REF!</v>
      </c>
    </row>
    <row r="111" spans="1:15" ht="15">
      <c r="A111" s="185" t="s">
        <v>680</v>
      </c>
      <c r="B111" s="176" t="s">
        <v>624</v>
      </c>
      <c r="C111" s="175" t="s">
        <v>1071</v>
      </c>
      <c r="D111" s="290">
        <f>LOOKUP(A111,'[2]Hoja1'!$F$2:$F$915,'[2]Hoja1'!$D$2:$D$915)</f>
        <v>2.836</v>
      </c>
      <c r="E111" s="257">
        <v>1.216</v>
      </c>
      <c r="F111" s="224"/>
      <c r="G111" s="198"/>
      <c r="H111" s="1" t="s">
        <v>1269</v>
      </c>
      <c r="L111" s="15">
        <v>1</v>
      </c>
      <c r="O111" s="287" t="e">
        <f>D111/#REF!</f>
        <v>#REF!</v>
      </c>
    </row>
    <row r="112" spans="1:15" ht="15">
      <c r="A112" s="185" t="s">
        <v>584</v>
      </c>
      <c r="B112" s="176" t="s">
        <v>814</v>
      </c>
      <c r="C112" s="175" t="s">
        <v>882</v>
      </c>
      <c r="D112" s="290">
        <f>LOOKUP(A112,'[2]Hoja1'!$F$2:$F$915,'[2]Hoja1'!$D$2:$D$915)</f>
        <v>429362.43</v>
      </c>
      <c r="E112" s="257">
        <v>255078.03</v>
      </c>
      <c r="F112" s="230"/>
      <c r="G112" s="199"/>
      <c r="H112" s="9"/>
      <c r="L112" s="15">
        <v>1</v>
      </c>
      <c r="O112" s="287" t="e">
        <f>D112/#REF!</f>
        <v>#REF!</v>
      </c>
    </row>
    <row r="113" spans="1:15" ht="15">
      <c r="A113" s="185" t="s">
        <v>578</v>
      </c>
      <c r="B113" s="176" t="s">
        <v>814</v>
      </c>
      <c r="C113" s="175" t="s">
        <v>589</v>
      </c>
      <c r="D113" s="290">
        <f>LOOKUP(A113,'[2]Hoja1'!$F$2:$F$915,'[2]Hoja1'!$D$2:$D$915)</f>
        <v>150.49</v>
      </c>
      <c r="E113" s="257">
        <v>63.716</v>
      </c>
      <c r="F113" s="229"/>
      <c r="G113" s="198"/>
      <c r="H113" s="9"/>
      <c r="O113" s="287" t="e">
        <f>D113/#REF!</f>
        <v>#REF!</v>
      </c>
    </row>
    <row r="114" spans="1:15" ht="15">
      <c r="A114" s="185" t="s">
        <v>681</v>
      </c>
      <c r="B114" s="176" t="s">
        <v>816</v>
      </c>
      <c r="C114" s="175" t="s">
        <v>882</v>
      </c>
      <c r="D114" s="290">
        <f>LOOKUP(A114,'[2]Hoja1'!$F$2:$F$915,'[2]Hoja1'!$D$2:$D$915)</f>
        <v>648913.51</v>
      </c>
      <c r="E114" s="257">
        <v>413569.64</v>
      </c>
      <c r="F114" s="230"/>
      <c r="G114" s="199"/>
      <c r="H114" s="9"/>
      <c r="L114" s="15">
        <v>1</v>
      </c>
      <c r="O114" s="287" t="e">
        <f>D114/#REF!</f>
        <v>#REF!</v>
      </c>
    </row>
    <row r="115" spans="1:15" ht="15">
      <c r="A115" s="185" t="s">
        <v>479</v>
      </c>
      <c r="B115" s="176" t="s">
        <v>682</v>
      </c>
      <c r="C115" s="175" t="s">
        <v>589</v>
      </c>
      <c r="D115" s="290">
        <f>LOOKUP(A115,'[2]Hoja1'!$F$2:$F$915,'[2]Hoja1'!$D$2:$D$915)</f>
        <v>229.72</v>
      </c>
      <c r="E115" s="257">
        <v>105.834</v>
      </c>
      <c r="F115" s="229"/>
      <c r="G115" s="198"/>
      <c r="H115" s="9"/>
      <c r="O115" s="287" t="e">
        <f>D115/#REF!</f>
        <v>#REF!</v>
      </c>
    </row>
    <row r="116" spans="1:15" ht="15">
      <c r="A116" s="185" t="s">
        <v>502</v>
      </c>
      <c r="B116" s="176" t="s">
        <v>817</v>
      </c>
      <c r="C116" s="175" t="s">
        <v>882</v>
      </c>
      <c r="D116" s="290">
        <f>LOOKUP(A116,'[2]Hoja1'!$F$2:$F$915,'[2]Hoja1'!$D$2:$D$915)</f>
        <v>550971.06</v>
      </c>
      <c r="E116" s="257">
        <v>212400</v>
      </c>
      <c r="F116" s="230"/>
      <c r="G116" s="199"/>
      <c r="H116" s="9"/>
      <c r="I116" s="1" t="s">
        <v>1270</v>
      </c>
      <c r="L116" s="15">
        <v>1</v>
      </c>
      <c r="O116" s="287" t="e">
        <f>D116/#REF!</f>
        <v>#REF!</v>
      </c>
    </row>
    <row r="117" spans="1:15" ht="15">
      <c r="A117" s="185" t="s">
        <v>683</v>
      </c>
      <c r="B117" s="176" t="s">
        <v>817</v>
      </c>
      <c r="C117" s="175" t="s">
        <v>589</v>
      </c>
      <c r="D117" s="290">
        <f>LOOKUP(A117,'[2]Hoja1'!$F$2:$F$915,'[2]Hoja1'!$D$2:$D$915)</f>
        <v>195.2</v>
      </c>
      <c r="E117" s="257">
        <v>72.429</v>
      </c>
      <c r="F117" s="229"/>
      <c r="G117" s="198"/>
      <c r="H117" s="9"/>
      <c r="O117" s="286" t="e">
        <f>D117/#REF!</f>
        <v>#REF!</v>
      </c>
    </row>
    <row r="118" spans="1:15" ht="15">
      <c r="A118" s="185" t="s">
        <v>684</v>
      </c>
      <c r="B118" s="176" t="s">
        <v>815</v>
      </c>
      <c r="C118" s="175" t="s">
        <v>882</v>
      </c>
      <c r="D118" s="290">
        <f>LOOKUP(A118,'[2]Hoja1'!$F$2:$F$915,'[2]Hoja1'!$D$2:$D$915)</f>
        <v>650365.73</v>
      </c>
      <c r="E118" s="257">
        <v>379549.53</v>
      </c>
      <c r="F118" s="230"/>
      <c r="G118" s="199"/>
      <c r="H118" s="9"/>
      <c r="L118" s="15">
        <v>1</v>
      </c>
      <c r="O118" s="286" t="e">
        <f>D118/#REF!</f>
        <v>#REF!</v>
      </c>
    </row>
    <row r="119" spans="1:15" ht="15">
      <c r="A119" s="185" t="s">
        <v>501</v>
      </c>
      <c r="B119" s="176" t="s">
        <v>815</v>
      </c>
      <c r="C119" s="175" t="s">
        <v>589</v>
      </c>
      <c r="D119" s="290">
        <f>LOOKUP(A119,'[2]Hoja1'!$F$2:$F$915,'[2]Hoja1'!$D$2:$D$915)</f>
        <v>187.56</v>
      </c>
      <c r="E119" s="257">
        <v>92.042</v>
      </c>
      <c r="F119" s="229"/>
      <c r="G119" s="198"/>
      <c r="H119" s="9"/>
      <c r="O119" s="286" t="e">
        <f>D119/#REF!</f>
        <v>#REF!</v>
      </c>
    </row>
    <row r="120" spans="1:15" ht="14.25" customHeight="1">
      <c r="A120" s="185" t="s">
        <v>685</v>
      </c>
      <c r="B120" s="176" t="s">
        <v>686</v>
      </c>
      <c r="C120" s="175" t="s">
        <v>882</v>
      </c>
      <c r="D120" s="290">
        <f>LOOKUP(A120,'[2]Hoja1'!$F$2:$F$915,'[2]Hoja1'!$D$2:$D$915)</f>
        <v>398627.65</v>
      </c>
      <c r="E120" s="257">
        <v>236000</v>
      </c>
      <c r="F120" s="230"/>
      <c r="G120" s="199"/>
      <c r="H120" s="9"/>
      <c r="L120" s="15">
        <v>1</v>
      </c>
      <c r="O120" s="286" t="e">
        <f>D120/#REF!</f>
        <v>#REF!</v>
      </c>
    </row>
    <row r="121" spans="1:15" ht="15">
      <c r="A121" s="185" t="s">
        <v>687</v>
      </c>
      <c r="B121" s="176" t="s">
        <v>686</v>
      </c>
      <c r="C121" s="175" t="s">
        <v>589</v>
      </c>
      <c r="D121" s="290">
        <f>LOOKUP(A121,'[2]Hoja1'!$F$2:$F$915,'[2]Hoja1'!$D$2:$D$915)</f>
        <v>116.98</v>
      </c>
      <c r="E121" s="257">
        <v>57.27</v>
      </c>
      <c r="F121" s="229"/>
      <c r="G121" s="198"/>
      <c r="H121" s="9"/>
      <c r="I121" s="172" t="s">
        <v>64</v>
      </c>
      <c r="O121" s="286" t="e">
        <f>D121/#REF!</f>
        <v>#REF!</v>
      </c>
    </row>
    <row r="122" spans="1:15" ht="15">
      <c r="A122" s="185" t="s">
        <v>688</v>
      </c>
      <c r="B122" s="176" t="s">
        <v>689</v>
      </c>
      <c r="C122" s="175" t="s">
        <v>882</v>
      </c>
      <c r="D122" s="290">
        <f>LOOKUP(A122,'[2]Hoja1'!$F$2:$F$915,'[2]Hoja1'!$D$2:$D$915)</f>
        <v>543951.84</v>
      </c>
      <c r="E122" s="257">
        <v>374650</v>
      </c>
      <c r="F122" s="230"/>
      <c r="G122" s="199"/>
      <c r="H122" s="9"/>
      <c r="L122" s="15">
        <v>1</v>
      </c>
      <c r="O122" s="286" t="e">
        <f>D122/#REF!</f>
        <v>#REF!</v>
      </c>
    </row>
    <row r="123" spans="1:15" ht="15">
      <c r="A123" s="185" t="s">
        <v>480</v>
      </c>
      <c r="B123" s="176" t="s">
        <v>689</v>
      </c>
      <c r="C123" s="175" t="s">
        <v>589</v>
      </c>
      <c r="D123" s="290">
        <f>LOOKUP(A123,'[2]Hoja1'!$F$2:$F$915,'[2]Hoja1'!$D$2:$D$915)</f>
        <v>163.03</v>
      </c>
      <c r="E123" s="257">
        <v>86.679</v>
      </c>
      <c r="F123" s="229"/>
      <c r="G123" s="198"/>
      <c r="H123" s="154"/>
      <c r="O123" s="286" t="e">
        <f>D123/#REF!</f>
        <v>#REF!</v>
      </c>
    </row>
    <row r="124" spans="1:15" ht="15">
      <c r="A124" s="185" t="s">
        <v>690</v>
      </c>
      <c r="B124" s="176" t="s">
        <v>936</v>
      </c>
      <c r="C124" s="175" t="s">
        <v>882</v>
      </c>
      <c r="D124" s="290">
        <f>LOOKUP(A124,'[2]Hoja1'!$F$2:$F$915,'[2]Hoja1'!$D$2:$D$915)</f>
        <v>648206.25</v>
      </c>
      <c r="E124" s="257">
        <v>295000</v>
      </c>
      <c r="F124" s="230"/>
      <c r="G124" s="199"/>
      <c r="H124" s="9"/>
      <c r="L124" s="15">
        <v>1</v>
      </c>
      <c r="O124" s="286" t="e">
        <f>D124/#REF!</f>
        <v>#REF!</v>
      </c>
    </row>
    <row r="125" spans="1:15" ht="15">
      <c r="A125" s="185" t="s">
        <v>692</v>
      </c>
      <c r="B125" s="176" t="s">
        <v>691</v>
      </c>
      <c r="C125" s="175" t="s">
        <v>589</v>
      </c>
      <c r="D125" s="290">
        <f>LOOKUP(A125,'[2]Hoja1'!$F$2:$F$915,'[2]Hoja1'!$D$2:$D$915)</f>
        <v>262.81</v>
      </c>
      <c r="E125" s="257">
        <v>105.05</v>
      </c>
      <c r="F125" s="229"/>
      <c r="G125" s="198"/>
      <c r="H125" s="9"/>
      <c r="O125" s="286" t="e">
        <f>D125/#REF!</f>
        <v>#REF!</v>
      </c>
    </row>
    <row r="126" spans="1:15" ht="15">
      <c r="A126" s="185" t="s">
        <v>693</v>
      </c>
      <c r="B126" s="176" t="s">
        <v>937</v>
      </c>
      <c r="C126" s="175" t="s">
        <v>882</v>
      </c>
      <c r="D126" s="290">
        <f>LOOKUP(A126,'[2]Hoja1'!$F$2:$F$915,'[2]Hoja1'!$D$2:$D$915)</f>
        <v>269868.78</v>
      </c>
      <c r="E126" s="257">
        <v>177000</v>
      </c>
      <c r="F126" s="230"/>
      <c r="G126" s="199"/>
      <c r="H126" s="9"/>
      <c r="L126" s="15">
        <v>1</v>
      </c>
      <c r="O126" s="286" t="e">
        <f>D126/#REF!</f>
        <v>#REF!</v>
      </c>
    </row>
    <row r="127" spans="1:15" ht="15">
      <c r="A127" s="185" t="s">
        <v>695</v>
      </c>
      <c r="B127" s="176" t="s">
        <v>694</v>
      </c>
      <c r="C127" s="175" t="s">
        <v>589</v>
      </c>
      <c r="D127" s="290">
        <f>LOOKUP(A127,'[2]Hoja1'!$F$2:$F$915,'[2]Hoja1'!$D$2:$D$915)</f>
        <v>95.15</v>
      </c>
      <c r="E127" s="257">
        <v>43.075</v>
      </c>
      <c r="F127" s="229"/>
      <c r="G127" s="198"/>
      <c r="H127" s="9"/>
      <c r="O127" s="286" t="e">
        <f>D127/#REF!</f>
        <v>#REF!</v>
      </c>
    </row>
    <row r="128" spans="1:15" ht="15">
      <c r="A128" s="185" t="s">
        <v>698</v>
      </c>
      <c r="B128" s="176" t="s">
        <v>935</v>
      </c>
      <c r="C128" s="175" t="s">
        <v>882</v>
      </c>
      <c r="D128" s="290">
        <f>LOOKUP(A128,'[2]Hoja1'!$F$2:$F$915,'[2]Hoja1'!$D$2:$D$915)</f>
        <v>983884.81</v>
      </c>
      <c r="E128" s="257">
        <v>610060</v>
      </c>
      <c r="F128" s="230"/>
      <c r="G128" s="199"/>
      <c r="H128" s="9"/>
      <c r="L128" s="15">
        <v>1</v>
      </c>
      <c r="O128" s="286" t="e">
        <f>D128/#REF!</f>
        <v>#REF!</v>
      </c>
    </row>
    <row r="129" spans="1:15" ht="15">
      <c r="A129" s="185" t="s">
        <v>980</v>
      </c>
      <c r="B129" s="176" t="s">
        <v>935</v>
      </c>
      <c r="C129" s="175" t="s">
        <v>589</v>
      </c>
      <c r="D129" s="290">
        <f>LOOKUP(A129,'[2]Hoja1'!$F$2:$F$915,'[2]Hoja1'!$D$2:$D$915)</f>
        <v>262.96</v>
      </c>
      <c r="E129" s="257">
        <v>135.452</v>
      </c>
      <c r="F129" s="229"/>
      <c r="G129" s="197"/>
      <c r="H129" s="9"/>
      <c r="O129" s="286" t="e">
        <f>D129/#REF!</f>
        <v>#REF!</v>
      </c>
    </row>
    <row r="130" spans="1:15" ht="15">
      <c r="A130" s="185" t="s">
        <v>864</v>
      </c>
      <c r="B130" s="176" t="s">
        <v>938</v>
      </c>
      <c r="C130" s="175" t="s">
        <v>882</v>
      </c>
      <c r="D130" s="290">
        <f>LOOKUP(A130,'[2]Hoja1'!$F$2:$F$915,'[2]Hoja1'!$D$2:$D$915)</f>
        <v>10429.57</v>
      </c>
      <c r="E130" s="258">
        <f>2000*D194</f>
        <v>7954.2</v>
      </c>
      <c r="F130" s="230"/>
      <c r="G130" s="197"/>
      <c r="H130" s="9"/>
      <c r="L130" s="15">
        <v>1</v>
      </c>
      <c r="O130" s="286" t="e">
        <f>D130/#REF!</f>
        <v>#REF!</v>
      </c>
    </row>
    <row r="131" spans="1:15" ht="15" customHeight="1" hidden="1">
      <c r="A131" s="185" t="s">
        <v>1142</v>
      </c>
      <c r="B131" s="176" t="s">
        <v>938</v>
      </c>
      <c r="C131" s="175" t="s">
        <v>589</v>
      </c>
      <c r="D131" s="290">
        <f>LOOKUP(A131,'[2]Hoja1'!$F$2:$F$915,'[2]Hoja1'!$D$2:$D$915)</f>
        <v>0</v>
      </c>
      <c r="E131" s="259">
        <v>0</v>
      </c>
      <c r="F131" s="229"/>
      <c r="G131" s="189"/>
      <c r="H131" s="9"/>
      <c r="O131" s="286" t="e">
        <f>D131/#REF!</f>
        <v>#REF!</v>
      </c>
    </row>
    <row r="132" spans="1:15" ht="15">
      <c r="A132" s="185" t="s">
        <v>867</v>
      </c>
      <c r="B132" s="176" t="s">
        <v>939</v>
      </c>
      <c r="C132" s="175" t="s">
        <v>882</v>
      </c>
      <c r="D132" s="290">
        <f>LOOKUP(A132,'[2]Hoja1'!$F$2:$F$915,'[2]Hoja1'!$D$2:$D$915)</f>
        <v>7486.72</v>
      </c>
      <c r="E132" s="258">
        <f>1650*D194</f>
        <v>6562.215</v>
      </c>
      <c r="F132" s="230"/>
      <c r="G132" s="198"/>
      <c r="H132" s="9"/>
      <c r="L132" s="15">
        <v>1</v>
      </c>
      <c r="O132" s="286" t="e">
        <f>D132/#REF!</f>
        <v>#REF!</v>
      </c>
    </row>
    <row r="133" spans="1:15" ht="15" customHeight="1" hidden="1">
      <c r="A133" s="185" t="s">
        <v>1143</v>
      </c>
      <c r="B133" s="176" t="s">
        <v>939</v>
      </c>
      <c r="C133" s="175" t="s">
        <v>589</v>
      </c>
      <c r="D133" s="290">
        <f>LOOKUP(A133,'[2]Hoja1'!$F$2:$F$915,'[2]Hoja1'!$D$2:$D$915)</f>
        <v>0</v>
      </c>
      <c r="E133" s="259">
        <v>0</v>
      </c>
      <c r="F133" s="229"/>
      <c r="G133" s="198"/>
      <c r="H133" s="1"/>
      <c r="O133" s="286" t="e">
        <f>D133/#REF!</f>
        <v>#REF!</v>
      </c>
    </row>
    <row r="134" spans="1:15" ht="15">
      <c r="A134" s="185" t="s">
        <v>868</v>
      </c>
      <c r="B134" s="176" t="s">
        <v>940</v>
      </c>
      <c r="C134" s="175" t="s">
        <v>882</v>
      </c>
      <c r="D134" s="290">
        <f>LOOKUP(A134,'[2]Hoja1'!$F$2:$F$915,'[2]Hoja1'!$D$2:$D$915)</f>
        <v>774982.76</v>
      </c>
      <c r="E134" s="258">
        <f>135000*D194</f>
        <v>536908.5</v>
      </c>
      <c r="F134" s="230"/>
      <c r="G134" s="199"/>
      <c r="H134" s="1"/>
      <c r="L134" s="15">
        <v>1</v>
      </c>
      <c r="O134" s="286" t="e">
        <f>D134/#REF!</f>
        <v>#REF!</v>
      </c>
    </row>
    <row r="135" spans="1:15" ht="15" customHeight="1" hidden="1">
      <c r="A135" s="185" t="s">
        <v>1144</v>
      </c>
      <c r="B135" s="176" t="s">
        <v>940</v>
      </c>
      <c r="C135" s="175" t="s">
        <v>589</v>
      </c>
      <c r="D135" s="290">
        <f>LOOKUP(A135,'[2]Hoja1'!$F$2:$F$915,'[2]Hoja1'!$D$2:$D$915)</f>
        <v>0</v>
      </c>
      <c r="E135" s="259">
        <v>0</v>
      </c>
      <c r="F135" s="229"/>
      <c r="G135" s="198"/>
      <c r="H135" s="1"/>
      <c r="O135" s="286" t="e">
        <f>D135/#REF!</f>
        <v>#REF!</v>
      </c>
    </row>
    <row r="136" spans="1:15" ht="15">
      <c r="A136" s="185" t="s">
        <v>869</v>
      </c>
      <c r="B136" s="176" t="s">
        <v>941</v>
      </c>
      <c r="C136" s="175" t="s">
        <v>882</v>
      </c>
      <c r="D136" s="290">
        <f>LOOKUP(A136,'[2]Hoja1'!$F$2:$F$915,'[2]Hoja1'!$D$2:$D$915)</f>
        <v>13333.75</v>
      </c>
      <c r="E136" s="258">
        <f>2500*D194</f>
        <v>9942.75</v>
      </c>
      <c r="F136" s="230"/>
      <c r="G136" s="199"/>
      <c r="H136" s="1"/>
      <c r="L136" s="15">
        <v>1</v>
      </c>
      <c r="O136" s="286" t="e">
        <f>D136/#REF!</f>
        <v>#REF!</v>
      </c>
    </row>
    <row r="137" spans="1:15" ht="15" customHeight="1" hidden="1">
      <c r="A137" s="185" t="s">
        <v>1145</v>
      </c>
      <c r="B137" s="176" t="s">
        <v>941</v>
      </c>
      <c r="C137" s="175" t="s">
        <v>589</v>
      </c>
      <c r="D137" s="290">
        <f>LOOKUP(A137,'[2]Hoja1'!$F$2:$F$915,'[2]Hoja1'!$D$2:$D$915)</f>
        <v>0</v>
      </c>
      <c r="E137" s="259">
        <v>0</v>
      </c>
      <c r="F137" s="229"/>
      <c r="G137" s="198"/>
      <c r="H137" s="1"/>
      <c r="O137" s="286" t="e">
        <f>D137/#REF!</f>
        <v>#REF!</v>
      </c>
    </row>
    <row r="138" spans="1:15" ht="15">
      <c r="A138" s="185" t="s">
        <v>865</v>
      </c>
      <c r="B138" s="176" t="s">
        <v>942</v>
      </c>
      <c r="C138" s="175" t="s">
        <v>882</v>
      </c>
      <c r="D138" s="290">
        <f>LOOKUP(A138,'[2]Hoja1'!$F$2:$F$915,'[2]Hoja1'!$D$2:$D$915)</f>
        <v>21569.88</v>
      </c>
      <c r="E138" s="258">
        <f>4000*D194</f>
        <v>15908.4</v>
      </c>
      <c r="F138" s="230"/>
      <c r="G138" s="199"/>
      <c r="H138" s="9"/>
      <c r="L138" s="15">
        <v>1</v>
      </c>
      <c r="O138" s="286" t="e">
        <f>D138/#REF!</f>
        <v>#REF!</v>
      </c>
    </row>
    <row r="139" spans="1:15" ht="15" customHeight="1" hidden="1">
      <c r="A139" s="185" t="s">
        <v>1146</v>
      </c>
      <c r="B139" s="176" t="s">
        <v>942</v>
      </c>
      <c r="C139" s="175" t="s">
        <v>589</v>
      </c>
      <c r="D139" s="290">
        <f>LOOKUP(A139,'[2]Hoja1'!$F$2:$F$915,'[2]Hoja1'!$D$2:$D$915)</f>
        <v>0</v>
      </c>
      <c r="E139" s="259">
        <v>0</v>
      </c>
      <c r="F139" s="229"/>
      <c r="G139" s="198"/>
      <c r="H139" s="9"/>
      <c r="O139" s="286" t="e">
        <f>D139/#REF!</f>
        <v>#REF!</v>
      </c>
    </row>
    <row r="140" spans="1:15" ht="15">
      <c r="A140" s="185" t="s">
        <v>870</v>
      </c>
      <c r="B140" s="176" t="s">
        <v>819</v>
      </c>
      <c r="C140" s="175" t="s">
        <v>882</v>
      </c>
      <c r="D140" s="290">
        <f>LOOKUP(A140,'[2]Hoja1'!$F$2:$F$915,'[2]Hoja1'!$D$2:$D$915)</f>
        <v>103984.74</v>
      </c>
      <c r="E140" s="258">
        <f>23000*D194</f>
        <v>91473.3</v>
      </c>
      <c r="F140" s="230"/>
      <c r="G140" s="199"/>
      <c r="H140" s="9"/>
      <c r="L140" s="15">
        <v>1</v>
      </c>
      <c r="O140" s="286" t="e">
        <f>D140/#REF!</f>
        <v>#REF!</v>
      </c>
    </row>
    <row r="141" spans="1:15" ht="15" customHeight="1" hidden="1">
      <c r="A141" s="185" t="s">
        <v>1147</v>
      </c>
      <c r="B141" s="176" t="s">
        <v>819</v>
      </c>
      <c r="C141" s="175" t="s">
        <v>589</v>
      </c>
      <c r="D141" s="290">
        <f>LOOKUP(A141,'[2]Hoja1'!$F$2:$F$915,'[2]Hoja1'!$D$2:$D$915)</f>
        <v>0</v>
      </c>
      <c r="E141" s="259">
        <v>0</v>
      </c>
      <c r="F141" s="231"/>
      <c r="G141" s="198"/>
      <c r="H141" s="9"/>
      <c r="O141" s="286" t="e">
        <f>D141/#REF!</f>
        <v>#REF!</v>
      </c>
    </row>
    <row r="142" spans="1:15" ht="15">
      <c r="A142" s="185" t="s">
        <v>866</v>
      </c>
      <c r="B142" s="176" t="s">
        <v>820</v>
      </c>
      <c r="C142" s="175" t="s">
        <v>882</v>
      </c>
      <c r="D142" s="290">
        <f>LOOKUP(A142,'[2]Hoja1'!$F$2:$F$915,'[2]Hoja1'!$D$2:$D$915)</f>
        <v>67816.18</v>
      </c>
      <c r="E142" s="258">
        <f>15000*D194</f>
        <v>59656.5</v>
      </c>
      <c r="F142" s="230"/>
      <c r="G142" s="199"/>
      <c r="H142" s="9"/>
      <c r="L142" s="15">
        <v>1</v>
      </c>
      <c r="O142" s="286" t="e">
        <f>D142/#REF!</f>
        <v>#REF!</v>
      </c>
    </row>
    <row r="143" spans="1:15" ht="15" customHeight="1" hidden="1">
      <c r="A143" s="185" t="s">
        <v>1148</v>
      </c>
      <c r="B143" s="176" t="s">
        <v>820</v>
      </c>
      <c r="C143" s="175" t="s">
        <v>589</v>
      </c>
      <c r="D143" s="290">
        <f>LOOKUP(A143,'[2]Hoja1'!$F$2:$F$915,'[2]Hoja1'!$D$2:$D$915)</f>
        <v>0</v>
      </c>
      <c r="E143" s="259">
        <v>0</v>
      </c>
      <c r="F143" s="231"/>
      <c r="G143" s="199"/>
      <c r="H143" s="1"/>
      <c r="O143" s="286" t="e">
        <f>D143/#REF!</f>
        <v>#REF!</v>
      </c>
    </row>
    <row r="144" spans="1:15" ht="15">
      <c r="A144" s="185" t="s">
        <v>871</v>
      </c>
      <c r="B144" s="176" t="s">
        <v>943</v>
      </c>
      <c r="C144" s="175" t="s">
        <v>882</v>
      </c>
      <c r="D144" s="290">
        <f>LOOKUP(A144,'[2]Hoja1'!$F$2:$F$915,'[2]Hoja1'!$D$2:$D$915)</f>
        <v>76858.28</v>
      </c>
      <c r="E144" s="258">
        <f>17000*D194</f>
        <v>67610.7</v>
      </c>
      <c r="F144" s="230"/>
      <c r="G144" s="199"/>
      <c r="H144" s="1"/>
      <c r="L144" s="15">
        <v>1</v>
      </c>
      <c r="O144" s="286" t="e">
        <f>D144/#REF!</f>
        <v>#REF!</v>
      </c>
    </row>
    <row r="145" spans="1:15" ht="15" customHeight="1" hidden="1">
      <c r="A145" s="185" t="s">
        <v>1149</v>
      </c>
      <c r="B145" s="176" t="s">
        <v>943</v>
      </c>
      <c r="C145" s="175" t="s">
        <v>589</v>
      </c>
      <c r="D145" s="290">
        <f>LOOKUP(A145,'[2]Hoja1'!$F$2:$F$915,'[2]Hoja1'!$D$2:$D$915)</f>
        <v>0</v>
      </c>
      <c r="E145" s="259">
        <v>0</v>
      </c>
      <c r="F145" s="231"/>
      <c r="G145" s="198"/>
      <c r="H145" s="1"/>
      <c r="O145" s="286" t="e">
        <f>D145/#REF!</f>
        <v>#REF!</v>
      </c>
    </row>
    <row r="146" spans="1:15" ht="15">
      <c r="A146" s="185" t="s">
        <v>872</v>
      </c>
      <c r="B146" s="176" t="s">
        <v>821</v>
      </c>
      <c r="C146" s="175" t="s">
        <v>882</v>
      </c>
      <c r="D146" s="290">
        <f>LOOKUP(A146,'[2]Hoja1'!$F$2:$F$915,'[2]Hoja1'!$D$2:$D$915)</f>
        <v>30051.18</v>
      </c>
      <c r="E146" s="258">
        <f>5000*D194</f>
        <v>19885.5</v>
      </c>
      <c r="F146" s="230"/>
      <c r="G146" s="199"/>
      <c r="H146" s="1"/>
      <c r="L146" s="15">
        <v>1</v>
      </c>
      <c r="O146" s="286" t="e">
        <f>D146/#REF!</f>
        <v>#REF!</v>
      </c>
    </row>
    <row r="147" spans="1:15" ht="15" customHeight="1" hidden="1">
      <c r="A147" s="185" t="s">
        <v>1150</v>
      </c>
      <c r="B147" s="176" t="s">
        <v>821</v>
      </c>
      <c r="C147" s="175" t="s">
        <v>589</v>
      </c>
      <c r="D147" s="290">
        <f>LOOKUP(A147,'[2]Hoja1'!$F$2:$F$915,'[2]Hoja1'!$D$2:$D$915)</f>
        <v>0</v>
      </c>
      <c r="E147" s="259">
        <v>0</v>
      </c>
      <c r="F147" s="229"/>
      <c r="G147" s="198"/>
      <c r="H147" s="1"/>
      <c r="I147" s="173">
        <v>5900</v>
      </c>
      <c r="O147" s="286" t="e">
        <f>D147/#REF!</f>
        <v>#REF!</v>
      </c>
    </row>
    <row r="148" spans="1:15" ht="15">
      <c r="A148" s="185" t="s">
        <v>873</v>
      </c>
      <c r="B148" s="176" t="s">
        <v>818</v>
      </c>
      <c r="C148" s="175" t="s">
        <v>882</v>
      </c>
      <c r="D148" s="290">
        <f>LOOKUP(A148,'[2]Hoja1'!$F$2:$F$915,'[2]Hoja1'!$D$2:$D$915)</f>
        <v>107618.55</v>
      </c>
      <c r="E148" s="258">
        <f>23500*D194</f>
        <v>93461.85</v>
      </c>
      <c r="F148" s="230"/>
      <c r="G148" s="199"/>
      <c r="L148" s="15">
        <v>1</v>
      </c>
      <c r="O148" s="286" t="e">
        <f>D148/#REF!</f>
        <v>#REF!</v>
      </c>
    </row>
    <row r="149" spans="1:15" ht="15" hidden="1">
      <c r="A149" s="185" t="s">
        <v>1151</v>
      </c>
      <c r="B149" s="176" t="s">
        <v>818</v>
      </c>
      <c r="C149" s="175" t="s">
        <v>589</v>
      </c>
      <c r="D149" s="290">
        <f>LOOKUP(A149,'[2]Hoja1'!$F$2:$F$915,'[2]Hoja1'!$D$2:$D$915)</f>
        <v>0</v>
      </c>
      <c r="E149" s="259">
        <v>0</v>
      </c>
      <c r="F149" s="229"/>
      <c r="G149" s="198"/>
      <c r="H149" s="1"/>
      <c r="O149" s="286" t="e">
        <f>D149/#REF!</f>
        <v>#REF!</v>
      </c>
    </row>
    <row r="150" spans="1:15" ht="15">
      <c r="A150" s="185" t="s">
        <v>874</v>
      </c>
      <c r="B150" s="176" t="s">
        <v>944</v>
      </c>
      <c r="C150" s="175" t="s">
        <v>882</v>
      </c>
      <c r="D150" s="290">
        <f>LOOKUP(A150,'[2]Hoja1'!$F$2:$F$915,'[2]Hoja1'!$D$2:$D$915)</f>
        <v>13134.31</v>
      </c>
      <c r="E150" s="258">
        <f>2000*D194</f>
        <v>7954.2</v>
      </c>
      <c r="F150" s="230"/>
      <c r="G150" s="199"/>
      <c r="H150" s="148"/>
      <c r="L150" s="15">
        <v>1</v>
      </c>
      <c r="O150" s="286" t="e">
        <f>D150/#REF!</f>
        <v>#REF!</v>
      </c>
    </row>
    <row r="151" spans="1:15" ht="15" hidden="1">
      <c r="A151" s="185" t="s">
        <v>1152</v>
      </c>
      <c r="B151" s="176" t="s">
        <v>944</v>
      </c>
      <c r="C151" s="175" t="s">
        <v>589</v>
      </c>
      <c r="D151" s="290">
        <f>LOOKUP(A151,'[2]Hoja1'!$F$2:$F$915,'[2]Hoja1'!$D$2:$D$915)</f>
        <v>0</v>
      </c>
      <c r="E151" s="259">
        <v>0</v>
      </c>
      <c r="F151" s="229"/>
      <c r="G151" s="198"/>
      <c r="H151" s="1"/>
      <c r="I151" s="15">
        <f>750+85+21</f>
        <v>856</v>
      </c>
      <c r="O151" s="286" t="e">
        <f>D151/#REF!</f>
        <v>#REF!</v>
      </c>
    </row>
    <row r="152" spans="1:15" ht="15">
      <c r="A152" s="185" t="s">
        <v>1153</v>
      </c>
      <c r="B152" s="176" t="s">
        <v>1154</v>
      </c>
      <c r="C152" s="175" t="s">
        <v>882</v>
      </c>
      <c r="D152" s="290">
        <f>LOOKUP(A152,'[2]Hoja1'!$F$2:$F$915,'[2]Hoja1'!$D$2:$D$915)</f>
        <v>8590</v>
      </c>
      <c r="E152" s="260"/>
      <c r="F152" s="230"/>
      <c r="G152" s="200">
        <v>2891</v>
      </c>
      <c r="H152" s="106" t="s">
        <v>1344</v>
      </c>
      <c r="L152" s="15">
        <v>1</v>
      </c>
      <c r="O152" s="286" t="e">
        <f>D152/#REF!</f>
        <v>#REF!</v>
      </c>
    </row>
    <row r="153" spans="1:15" ht="15" hidden="1">
      <c r="A153" s="185" t="s">
        <v>1155</v>
      </c>
      <c r="B153" s="176" t="s">
        <v>1154</v>
      </c>
      <c r="C153" s="175" t="s">
        <v>589</v>
      </c>
      <c r="D153" s="290">
        <f>LOOKUP(A153,'[2]Hoja1'!$F$2:$F$915,'[2]Hoja1'!$D$2:$D$915)</f>
        <v>0</v>
      </c>
      <c r="E153" s="259"/>
      <c r="F153" s="229"/>
      <c r="G153" s="198"/>
      <c r="H153" s="1"/>
      <c r="O153" s="286" t="e">
        <f>D153/#REF!</f>
        <v>#REF!</v>
      </c>
    </row>
    <row r="154" spans="1:15" ht="15" hidden="1">
      <c r="A154" s="185" t="s">
        <v>1156</v>
      </c>
      <c r="B154" s="176" t="s">
        <v>1157</v>
      </c>
      <c r="C154" s="175" t="s">
        <v>882</v>
      </c>
      <c r="D154" s="290">
        <f>LOOKUP(A154,'[2]Hoja1'!$F$2:$F$915,'[2]Hoja1'!$D$2:$D$915)</f>
        <v>0</v>
      </c>
      <c r="E154" s="260"/>
      <c r="F154" s="230"/>
      <c r="G154" s="200">
        <f>2489*D194</f>
        <v>9899.0019</v>
      </c>
      <c r="H154" s="106" t="s">
        <v>1271</v>
      </c>
      <c r="L154" s="15">
        <v>1</v>
      </c>
      <c r="O154" s="286" t="e">
        <f>D154/#REF!</f>
        <v>#REF!</v>
      </c>
    </row>
    <row r="155" spans="1:15" ht="15" hidden="1">
      <c r="A155" s="185" t="s">
        <v>1158</v>
      </c>
      <c r="B155" s="176" t="s">
        <v>1159</v>
      </c>
      <c r="C155" s="175" t="s">
        <v>589</v>
      </c>
      <c r="D155" s="290">
        <f>LOOKUP(A155,'[2]Hoja1'!$F$2:$F$915,'[2]Hoja1'!$D$2:$D$915)</f>
        <v>0</v>
      </c>
      <c r="E155" s="259"/>
      <c r="F155" s="229"/>
      <c r="G155" s="198"/>
      <c r="H155" s="1"/>
      <c r="O155" s="286" t="e">
        <f>D155/#REF!</f>
        <v>#REF!</v>
      </c>
    </row>
    <row r="156" spans="1:15" ht="15">
      <c r="A156" s="185" t="s">
        <v>1160</v>
      </c>
      <c r="B156" s="176" t="s">
        <v>1161</v>
      </c>
      <c r="C156" s="175" t="s">
        <v>882</v>
      </c>
      <c r="D156" s="290">
        <f>LOOKUP(A156,'[2]Hoja1'!$F$2:$F$915,'[2]Hoja1'!$D$2:$D$915)</f>
        <v>70940.3</v>
      </c>
      <c r="E156" s="260"/>
      <c r="F156" s="230"/>
      <c r="G156" s="200">
        <v>44250</v>
      </c>
      <c r="H156" s="106" t="s">
        <v>1361</v>
      </c>
      <c r="L156" s="15">
        <v>1</v>
      </c>
      <c r="O156" s="286" t="e">
        <f>D156/#REF!</f>
        <v>#REF!</v>
      </c>
    </row>
    <row r="157" spans="1:15" ht="15" hidden="1">
      <c r="A157" s="185" t="s">
        <v>1162</v>
      </c>
      <c r="B157" s="176" t="s">
        <v>1163</v>
      </c>
      <c r="C157" s="175" t="s">
        <v>589</v>
      </c>
      <c r="D157" s="290">
        <f>LOOKUP(A157,'[2]Hoja1'!$F$2:$F$915,'[2]Hoja1'!$D$2:$D$915)</f>
        <v>0</v>
      </c>
      <c r="E157" s="259"/>
      <c r="F157" s="229"/>
      <c r="G157" s="198"/>
      <c r="H157" s="1"/>
      <c r="O157" s="286" t="e">
        <f>D157/#REF!</f>
        <v>#REF!</v>
      </c>
    </row>
    <row r="158" spans="1:15" ht="15" hidden="1">
      <c r="A158" s="185" t="s">
        <v>1164</v>
      </c>
      <c r="B158" s="176" t="s">
        <v>65</v>
      </c>
      <c r="C158" s="175" t="s">
        <v>882</v>
      </c>
      <c r="D158" s="290">
        <f>LOOKUP(A158,'[2]Hoja1'!$F$2:$F$915,'[2]Hoja1'!$D$2:$D$915)</f>
        <v>0</v>
      </c>
      <c r="E158" s="260"/>
      <c r="F158" s="230"/>
      <c r="G158" s="200">
        <v>63130</v>
      </c>
      <c r="H158" s="106" t="s">
        <v>1361</v>
      </c>
      <c r="L158" s="15">
        <v>1</v>
      </c>
      <c r="O158" s="286" t="e">
        <f>D158/#REF!</f>
        <v>#REF!</v>
      </c>
    </row>
    <row r="159" spans="1:15" ht="15" hidden="1">
      <c r="A159" s="185" t="s">
        <v>1165</v>
      </c>
      <c r="B159" s="176" t="s">
        <v>1332</v>
      </c>
      <c r="C159" s="175" t="s">
        <v>589</v>
      </c>
      <c r="D159" s="290">
        <f>LOOKUP(A159,'[2]Hoja1'!$F$2:$F$915,'[2]Hoja1'!$D$2:$D$915)</f>
        <v>0</v>
      </c>
      <c r="E159" s="259"/>
      <c r="F159" s="229"/>
      <c r="G159" s="198"/>
      <c r="H159" s="1"/>
      <c r="O159" s="286" t="e">
        <f>D159/#REF!</f>
        <v>#REF!</v>
      </c>
    </row>
    <row r="160" spans="1:15" ht="15">
      <c r="A160" s="185" t="s">
        <v>1166</v>
      </c>
      <c r="B160" s="176" t="s">
        <v>1167</v>
      </c>
      <c r="C160" s="175" t="s">
        <v>882</v>
      </c>
      <c r="D160" s="290">
        <f>LOOKUP(A160,'[2]Hoja1'!$F$2:$F$915,'[2]Hoja1'!$D$2:$D$915)</f>
        <v>53686.14</v>
      </c>
      <c r="E160" s="260"/>
      <c r="F160" s="230"/>
      <c r="G160" s="202">
        <v>28900</v>
      </c>
      <c r="H160" s="106" t="s">
        <v>1345</v>
      </c>
      <c r="L160" s="15">
        <v>1</v>
      </c>
      <c r="O160" s="286" t="e">
        <f>D160/#REF!</f>
        <v>#REF!</v>
      </c>
    </row>
    <row r="161" spans="1:15" ht="15" hidden="1">
      <c r="A161" s="185" t="s">
        <v>1168</v>
      </c>
      <c r="B161" s="176" t="s">
        <v>1167</v>
      </c>
      <c r="C161" s="175" t="s">
        <v>589</v>
      </c>
      <c r="D161" s="290">
        <f>LOOKUP(A161,'[2]Hoja1'!$F$2:$F$915,'[2]Hoja1'!$D$2:$D$915)</f>
        <v>0</v>
      </c>
      <c r="E161" s="259"/>
      <c r="F161" s="229"/>
      <c r="G161" s="203"/>
      <c r="H161" s="1"/>
      <c r="O161" s="286" t="e">
        <f>D161/#REF!</f>
        <v>#REF!</v>
      </c>
    </row>
    <row r="162" spans="1:15" ht="15">
      <c r="A162" s="185" t="s">
        <v>1169</v>
      </c>
      <c r="B162" s="176" t="s">
        <v>1170</v>
      </c>
      <c r="C162" s="175" t="s">
        <v>882</v>
      </c>
      <c r="D162" s="290">
        <f>LOOKUP(A162,'[2]Hoja1'!$F$2:$F$915,'[2]Hoja1'!$D$2:$D$915)</f>
        <v>106637.96</v>
      </c>
      <c r="E162" s="260"/>
      <c r="F162" s="230"/>
      <c r="G162" s="202">
        <v>68500</v>
      </c>
      <c r="H162" s="106" t="s">
        <v>1345</v>
      </c>
      <c r="I162" s="15" t="s">
        <v>1272</v>
      </c>
      <c r="L162" s="15">
        <v>1</v>
      </c>
      <c r="O162" s="286" t="e">
        <f>D162/#REF!</f>
        <v>#REF!</v>
      </c>
    </row>
    <row r="163" spans="1:15" ht="15" hidden="1">
      <c r="A163" s="185" t="s">
        <v>1171</v>
      </c>
      <c r="B163" s="176" t="s">
        <v>1170</v>
      </c>
      <c r="C163" s="175" t="s">
        <v>589</v>
      </c>
      <c r="D163" s="290">
        <f>LOOKUP(A163,'[2]Hoja1'!$F$2:$F$915,'[2]Hoja1'!$D$2:$D$915)</f>
        <v>0</v>
      </c>
      <c r="E163" s="259"/>
      <c r="F163" s="229"/>
      <c r="G163" s="204"/>
      <c r="H163" s="106" t="s">
        <v>1345</v>
      </c>
      <c r="O163" s="286" t="e">
        <f>D163/#REF!</f>
        <v>#REF!</v>
      </c>
    </row>
    <row r="164" spans="1:15" ht="15">
      <c r="A164" s="185" t="s">
        <v>1172</v>
      </c>
      <c r="B164" s="176" t="s">
        <v>1173</v>
      </c>
      <c r="C164" s="175" t="s">
        <v>882</v>
      </c>
      <c r="D164" s="290">
        <f>LOOKUP(A164,'[2]Hoja1'!$F$2:$F$915,'[2]Hoja1'!$D$2:$D$915)</f>
        <v>61219.87</v>
      </c>
      <c r="E164" s="260"/>
      <c r="F164" s="230"/>
      <c r="G164" s="202">
        <v>39500</v>
      </c>
      <c r="H164" s="106" t="s">
        <v>1345</v>
      </c>
      <c r="L164" s="15">
        <v>1</v>
      </c>
      <c r="O164" s="286" t="e">
        <f>D164/#REF!</f>
        <v>#REF!</v>
      </c>
    </row>
    <row r="165" spans="1:15" ht="15" hidden="1">
      <c r="A165" s="185" t="s">
        <v>1174</v>
      </c>
      <c r="B165" s="176" t="s">
        <v>1173</v>
      </c>
      <c r="C165" s="175" t="s">
        <v>589</v>
      </c>
      <c r="D165" s="290">
        <f>LOOKUP(A165,'[2]Hoja1'!$F$2:$F$915,'[2]Hoja1'!$D$2:$D$915)</f>
        <v>0</v>
      </c>
      <c r="E165" s="259"/>
      <c r="F165" s="229"/>
      <c r="G165" s="198"/>
      <c r="H165" s="1"/>
      <c r="O165" s="286" t="e">
        <f>D165/#REF!</f>
        <v>#REF!</v>
      </c>
    </row>
    <row r="166" spans="1:15" ht="15">
      <c r="A166" s="185" t="s">
        <v>1175</v>
      </c>
      <c r="B166" s="176" t="s">
        <v>1388</v>
      </c>
      <c r="C166" s="175" t="s">
        <v>882</v>
      </c>
      <c r="D166" s="290">
        <f>LOOKUP(A166,'[2]Hoja1'!$F$2:$F$915,'[2]Hoja1'!$D$2:$D$915)</f>
        <v>445037.49</v>
      </c>
      <c r="E166" s="261"/>
      <c r="F166" s="232"/>
      <c r="G166" s="200">
        <v>237770</v>
      </c>
      <c r="H166" s="106" t="s">
        <v>1361</v>
      </c>
      <c r="I166" s="109">
        <f>536000*D194</f>
        <v>2131725.6</v>
      </c>
      <c r="J166" s="15" t="s">
        <v>1389</v>
      </c>
      <c r="O166" s="286" t="e">
        <f>D166/#REF!</f>
        <v>#REF!</v>
      </c>
    </row>
    <row r="167" spans="1:15" ht="15" hidden="1">
      <c r="A167" s="185" t="s">
        <v>1176</v>
      </c>
      <c r="B167" s="176" t="s">
        <v>1177</v>
      </c>
      <c r="C167" s="175" t="s">
        <v>589</v>
      </c>
      <c r="D167" s="290">
        <f>LOOKUP(A167,'[2]Hoja1'!$F$2:$F$915,'[2]Hoja1'!$D$2:$D$915)</f>
        <v>0</v>
      </c>
      <c r="E167" s="259"/>
      <c r="F167" s="229"/>
      <c r="G167" s="198"/>
      <c r="H167" s="1"/>
      <c r="O167" s="286" t="e">
        <f>D167/#REF!</f>
        <v>#REF!</v>
      </c>
    </row>
    <row r="168" spans="1:15" ht="15">
      <c r="A168" s="185" t="s">
        <v>1178</v>
      </c>
      <c r="B168" s="176" t="s">
        <v>128</v>
      </c>
      <c r="C168" s="175" t="s">
        <v>882</v>
      </c>
      <c r="D168" s="290">
        <f>LOOKUP(A168,'[2]Hoja1'!$F$2:$F$915,'[2]Hoja1'!$D$2:$D$915)</f>
        <v>81737.5566</v>
      </c>
      <c r="E168" s="260"/>
      <c r="F168" s="230"/>
      <c r="G168" s="200">
        <f>11500*D194</f>
        <v>45736.65</v>
      </c>
      <c r="H168" s="106" t="s">
        <v>1273</v>
      </c>
      <c r="L168" s="15">
        <v>1</v>
      </c>
      <c r="O168" s="286" t="e">
        <f>D168/#REF!</f>
        <v>#REF!</v>
      </c>
    </row>
    <row r="169" spans="1:15" ht="15" hidden="1">
      <c r="A169" s="185" t="s">
        <v>1180</v>
      </c>
      <c r="B169" s="176" t="s">
        <v>1179</v>
      </c>
      <c r="C169" s="175" t="s">
        <v>589</v>
      </c>
      <c r="D169" s="290">
        <f>LOOKUP(A169,'[2]Hoja1'!$F$2:$F$915,'[2]Hoja1'!$D$2:$D$915)</f>
        <v>0</v>
      </c>
      <c r="E169" s="259"/>
      <c r="F169" s="229"/>
      <c r="G169" s="198"/>
      <c r="H169" s="1"/>
      <c r="O169" s="286" t="e">
        <f>D169/#REF!</f>
        <v>#REF!</v>
      </c>
    </row>
    <row r="170" spans="1:15" ht="15">
      <c r="A170" s="185" t="s">
        <v>911</v>
      </c>
      <c r="B170" s="176" t="s">
        <v>912</v>
      </c>
      <c r="C170" s="175" t="s">
        <v>1071</v>
      </c>
      <c r="D170" s="290">
        <f>LOOKUP(A170,'[2]Hoja1'!$F$2:$F$915,'[2]Hoja1'!$D$2:$D$915)</f>
        <v>3.467</v>
      </c>
      <c r="E170" s="262">
        <v>1.686</v>
      </c>
      <c r="F170" s="230"/>
      <c r="G170" s="199"/>
      <c r="H170" s="15" t="s">
        <v>1269</v>
      </c>
      <c r="L170" s="15">
        <v>1</v>
      </c>
      <c r="O170" s="286" t="e">
        <f>D170/#REF!</f>
        <v>#REF!</v>
      </c>
    </row>
    <row r="171" spans="1:15" ht="15">
      <c r="A171" s="185" t="s">
        <v>1181</v>
      </c>
      <c r="B171" s="176" t="s">
        <v>66</v>
      </c>
      <c r="C171" s="175" t="s">
        <v>882</v>
      </c>
      <c r="D171" s="290">
        <f>LOOKUP(A171,'[2]Hoja1'!$F$2:$F$915,'[2]Hoja1'!$D$2:$D$915)</f>
        <v>78833.0364</v>
      </c>
      <c r="E171" s="263"/>
      <c r="F171" s="230"/>
      <c r="G171" s="202">
        <v>24761.31</v>
      </c>
      <c r="H171" s="106" t="s">
        <v>1274</v>
      </c>
      <c r="L171" s="15">
        <v>1</v>
      </c>
      <c r="O171" s="286" t="e">
        <f>D171/#REF!</f>
        <v>#REF!</v>
      </c>
    </row>
    <row r="172" spans="1:15" ht="15" hidden="1">
      <c r="A172" s="185" t="s">
        <v>1183</v>
      </c>
      <c r="B172" s="176" t="s">
        <v>1182</v>
      </c>
      <c r="C172" s="175" t="s">
        <v>589</v>
      </c>
      <c r="D172" s="290">
        <f>LOOKUP(A172,'[2]Hoja1'!$F$2:$F$915,'[2]Hoja1'!$D$2:$D$915)</f>
        <v>0</v>
      </c>
      <c r="E172" s="259"/>
      <c r="F172" s="229"/>
      <c r="G172" s="198"/>
      <c r="H172" s="1"/>
      <c r="O172" s="286" t="e">
        <f>D172/#REF!</f>
        <v>#REF!</v>
      </c>
    </row>
    <row r="173" spans="1:15" ht="15" hidden="1">
      <c r="A173" s="185" t="s">
        <v>1184</v>
      </c>
      <c r="B173" s="176" t="s">
        <v>1334</v>
      </c>
      <c r="C173" s="175" t="s">
        <v>882</v>
      </c>
      <c r="D173" s="290">
        <f>LOOKUP(A173,'[2]Hoja1'!$F$2:$F$915,'[2]Hoja1'!$D$2:$D$915)</f>
        <v>0</v>
      </c>
      <c r="E173" s="263"/>
      <c r="F173" s="230"/>
      <c r="G173" s="200">
        <f>4587*D194</f>
        <v>18242.9577</v>
      </c>
      <c r="H173" s="106" t="s">
        <v>1271</v>
      </c>
      <c r="L173" s="15">
        <v>1</v>
      </c>
      <c r="O173" s="286" t="e">
        <f>D173/#REF!</f>
        <v>#REF!</v>
      </c>
    </row>
    <row r="174" spans="1:15" ht="15" hidden="1">
      <c r="A174" s="185" t="s">
        <v>1185</v>
      </c>
      <c r="B174" s="176" t="s">
        <v>1334</v>
      </c>
      <c r="C174" s="175" t="s">
        <v>589</v>
      </c>
      <c r="D174" s="290">
        <f>LOOKUP(A174,'[2]Hoja1'!$F$2:$F$915,'[2]Hoja1'!$D$2:$D$915)</f>
        <v>0</v>
      </c>
      <c r="E174" s="259"/>
      <c r="F174" s="229"/>
      <c r="G174" s="198"/>
      <c r="H174" s="1"/>
      <c r="O174" s="286" t="e">
        <f>D174/#REF!</f>
        <v>#REF!</v>
      </c>
    </row>
    <row r="175" spans="1:15" ht="15" hidden="1">
      <c r="A175" s="185" t="s">
        <v>1186</v>
      </c>
      <c r="B175" s="176" t="s">
        <v>1336</v>
      </c>
      <c r="C175" s="175" t="s">
        <v>882</v>
      </c>
      <c r="D175" s="290">
        <f>LOOKUP(A175,'[2]Hoja1'!$F$2:$F$915,'[2]Hoja1'!$D$2:$D$915)</f>
        <v>20161.73</v>
      </c>
      <c r="E175" s="263"/>
      <c r="F175" s="230"/>
      <c r="G175" s="200">
        <f>3938*D194</f>
        <v>15661.819800000001</v>
      </c>
      <c r="H175" s="106" t="s">
        <v>1271</v>
      </c>
      <c r="K175" s="156">
        <f>240000+84000+26900</f>
        <v>350900</v>
      </c>
      <c r="L175" s="15">
        <v>1</v>
      </c>
      <c r="O175" s="286" t="e">
        <f>D175/#REF!</f>
        <v>#REF!</v>
      </c>
    </row>
    <row r="176" spans="1:15" ht="15" hidden="1">
      <c r="A176" s="185" t="s">
        <v>1187</v>
      </c>
      <c r="B176" s="176" t="s">
        <v>1336</v>
      </c>
      <c r="C176" s="175" t="s">
        <v>589</v>
      </c>
      <c r="D176" s="290">
        <f>LOOKUP(A176,'[2]Hoja1'!$F$2:$F$915,'[2]Hoja1'!$D$2:$D$915)</f>
        <v>0</v>
      </c>
      <c r="E176" s="259"/>
      <c r="F176" s="229"/>
      <c r="G176" s="198"/>
      <c r="H176" s="1"/>
      <c r="K176" s="123" t="s">
        <v>1331</v>
      </c>
      <c r="O176" s="286" t="e">
        <f>D176/#REF!</f>
        <v>#REF!</v>
      </c>
    </row>
    <row r="177" spans="1:15" ht="15">
      <c r="A177" s="185" t="s">
        <v>1188</v>
      </c>
      <c r="B177" s="176" t="s">
        <v>1330</v>
      </c>
      <c r="C177" s="175" t="s">
        <v>882</v>
      </c>
      <c r="D177" s="290">
        <f>LOOKUP(A177,'[2]Hoja1'!$F$2:$F$915,'[2]Hoja1'!$D$2:$D$915)</f>
        <v>2760259.2551</v>
      </c>
      <c r="E177" s="263"/>
      <c r="F177" s="230"/>
      <c r="G177" s="205">
        <v>1076027.8</v>
      </c>
      <c r="H177" s="122" t="s">
        <v>1342</v>
      </c>
      <c r="I177" s="122"/>
      <c r="J177" s="123">
        <f>35186*D194</f>
        <v>139938.2406</v>
      </c>
      <c r="K177" s="103" t="s">
        <v>1362</v>
      </c>
      <c r="O177" s="286" t="e">
        <f>D177/#REF!</f>
        <v>#REF!</v>
      </c>
    </row>
    <row r="178" spans="1:15" ht="15" hidden="1">
      <c r="A178" s="185" t="s">
        <v>1189</v>
      </c>
      <c r="B178" s="176" t="s">
        <v>1330</v>
      </c>
      <c r="C178" s="175" t="s">
        <v>589</v>
      </c>
      <c r="D178" s="290">
        <f>LOOKUP(A178,'[2]Hoja1'!$F$2:$F$915,'[2]Hoja1'!$D$2:$D$915)</f>
        <v>0</v>
      </c>
      <c r="E178" s="259"/>
      <c r="F178" s="229"/>
      <c r="G178" s="198"/>
      <c r="O178" s="286" t="e">
        <f>D178/#REF!</f>
        <v>#REF!</v>
      </c>
    </row>
    <row r="179" spans="1:15" ht="15">
      <c r="A179" s="185" t="s">
        <v>1091</v>
      </c>
      <c r="B179" s="176" t="s">
        <v>1092</v>
      </c>
      <c r="C179" s="175" t="s">
        <v>882</v>
      </c>
      <c r="D179" s="290">
        <f>LOOKUP(A179,'[2]Hoja1'!$F$2:$F$915,'[2]Hoja1'!$D$2:$D$915)</f>
        <v>81052.6316</v>
      </c>
      <c r="E179" s="260"/>
      <c r="F179" s="230"/>
      <c r="G179" s="206">
        <v>49973</v>
      </c>
      <c r="H179" s="1" t="s">
        <v>1343</v>
      </c>
      <c r="L179" s="15">
        <v>1</v>
      </c>
      <c r="O179" s="286" t="e">
        <f>D179/#REF!</f>
        <v>#REF!</v>
      </c>
    </row>
    <row r="180" spans="1:15" ht="15">
      <c r="A180" s="185" t="s">
        <v>1098</v>
      </c>
      <c r="B180" s="176" t="s">
        <v>1092</v>
      </c>
      <c r="C180" s="175" t="s">
        <v>589</v>
      </c>
      <c r="D180" s="290">
        <f>LOOKUP(A180,'[2]Hoja1'!$F$2:$F$915,'[2]Hoja1'!$D$2:$D$915)</f>
        <v>148.67</v>
      </c>
      <c r="E180" s="259">
        <f>grua</f>
        <v>180.74074049</v>
      </c>
      <c r="F180" s="229"/>
      <c r="G180" s="198"/>
      <c r="H180" s="1"/>
      <c r="O180" s="286" t="e">
        <f>D180/#REF!</f>
        <v>#REF!</v>
      </c>
    </row>
    <row r="181" spans="1:15" ht="15">
      <c r="A181" s="185" t="s">
        <v>1190</v>
      </c>
      <c r="B181" s="176" t="s">
        <v>1350</v>
      </c>
      <c r="C181" s="175" t="s">
        <v>882</v>
      </c>
      <c r="D181" s="290">
        <f>LOOKUP(A181,'[2]Hoja1'!$F$2:$F$915,'[2]Hoja1'!$D$2:$D$915)</f>
        <v>974997.0712</v>
      </c>
      <c r="E181" s="263"/>
      <c r="F181" s="230"/>
      <c r="G181" s="205">
        <v>481724</v>
      </c>
      <c r="H181" s="122" t="s">
        <v>1347</v>
      </c>
      <c r="I181" s="122"/>
      <c r="L181" s="15">
        <v>1</v>
      </c>
      <c r="O181" s="286" t="e">
        <f>D181/#REF!</f>
        <v>#REF!</v>
      </c>
    </row>
    <row r="182" spans="1:15" ht="15" hidden="1">
      <c r="A182" s="185" t="s">
        <v>1191</v>
      </c>
      <c r="B182" s="176" t="s">
        <v>1335</v>
      </c>
      <c r="C182" s="175" t="s">
        <v>589</v>
      </c>
      <c r="D182" s="290">
        <f>LOOKUP(A182,'[2]Hoja1'!$F$2:$F$915,'[2]Hoja1'!$D$2:$D$915)</f>
        <v>0</v>
      </c>
      <c r="E182" s="259"/>
      <c r="F182" s="229"/>
      <c r="G182" s="198"/>
      <c r="O182" s="286" t="e">
        <f>D182/#REF!</f>
        <v>#REF!</v>
      </c>
    </row>
    <row r="183" spans="1:15" ht="15">
      <c r="A183" s="185" t="s">
        <v>1192</v>
      </c>
      <c r="B183" s="176" t="s">
        <v>1390</v>
      </c>
      <c r="C183" s="175" t="s">
        <v>882</v>
      </c>
      <c r="D183" s="290">
        <f>LOOKUP(A183,'[2]Hoja1'!$F$2:$F$915,'[2]Hoja1'!$D$2:$D$915)</f>
        <v>722639.07</v>
      </c>
      <c r="E183" s="263"/>
      <c r="F183" s="230"/>
      <c r="G183" s="200">
        <v>356950</v>
      </c>
      <c r="H183" s="106" t="s">
        <v>1361</v>
      </c>
      <c r="L183" s="15">
        <v>1</v>
      </c>
      <c r="O183" s="286" t="e">
        <f>D183/#REF!</f>
        <v>#REF!</v>
      </c>
    </row>
    <row r="184" spans="1:15" ht="15">
      <c r="A184" s="185" t="s">
        <v>1193</v>
      </c>
      <c r="B184" s="176" t="s">
        <v>1333</v>
      </c>
      <c r="C184" s="175" t="s">
        <v>589</v>
      </c>
      <c r="D184" s="290">
        <f>LOOKUP(A184,'[2]Hoja1'!$F$2:$F$915,'[2]Hoja1'!$D$2:$D$915)</f>
        <v>189.28</v>
      </c>
      <c r="E184" s="259"/>
      <c r="F184" s="229"/>
      <c r="G184" s="198"/>
      <c r="H184" s="1"/>
      <c r="I184" s="157" t="e">
        <f>G177+#REF!</f>
        <v>#REF!</v>
      </c>
      <c r="O184" s="286" t="e">
        <f>D184/#REF!</f>
        <v>#REF!</v>
      </c>
    </row>
    <row r="185" spans="1:15" ht="15">
      <c r="A185" s="185" t="s">
        <v>1307</v>
      </c>
      <c r="B185" s="176" t="s">
        <v>1319</v>
      </c>
      <c r="C185" s="175" t="s">
        <v>882</v>
      </c>
      <c r="D185" s="290">
        <f>LOOKUP(A185,'[2]Hoja1'!$F$2:$F$915,'[2]Hoja1'!$D$2:$D$915)</f>
        <v>247992.8959</v>
      </c>
      <c r="E185" s="264">
        <v>80542.99</v>
      </c>
      <c r="F185" s="229"/>
      <c r="G185" s="207"/>
      <c r="H185" s="1"/>
      <c r="O185" s="286" t="e">
        <f>D185/#REF!</f>
        <v>#REF!</v>
      </c>
    </row>
    <row r="186" spans="1:15" ht="15">
      <c r="A186" s="185" t="s">
        <v>1308</v>
      </c>
      <c r="B186" s="176" t="s">
        <v>1320</v>
      </c>
      <c r="C186" s="175" t="s">
        <v>882</v>
      </c>
      <c r="D186" s="290">
        <f>LOOKUP(A186,'[2]Hoja1'!$F$2:$F$915,'[2]Hoja1'!$D$2:$D$915)</f>
        <v>282760.724</v>
      </c>
      <c r="E186" s="262">
        <v>118054.29</v>
      </c>
      <c r="F186" s="229"/>
      <c r="G186" s="208"/>
      <c r="H186" s="1"/>
      <c r="O186" s="286" t="e">
        <f>D186/#REF!</f>
        <v>#REF!</v>
      </c>
    </row>
    <row r="187" spans="1:15" ht="15">
      <c r="A187" s="185" t="s">
        <v>1309</v>
      </c>
      <c r="B187" s="176" t="s">
        <v>205</v>
      </c>
      <c r="C187" s="175" t="s">
        <v>882</v>
      </c>
      <c r="D187" s="290">
        <f>LOOKUP(A187,'[2]Hoja1'!$F$2:$F$915,'[2]Hoja1'!$D$2:$D$915)</f>
        <v>1355.0964</v>
      </c>
      <c r="E187" s="262">
        <v>554.55</v>
      </c>
      <c r="F187" s="229"/>
      <c r="G187" s="208"/>
      <c r="H187" s="1"/>
      <c r="O187" s="286" t="e">
        <f>D187/#REF!</f>
        <v>#REF!</v>
      </c>
    </row>
    <row r="188" spans="1:15" ht="15">
      <c r="A188" s="185" t="s">
        <v>1310</v>
      </c>
      <c r="B188" s="176" t="s">
        <v>206</v>
      </c>
      <c r="C188" s="175" t="s">
        <v>882</v>
      </c>
      <c r="D188" s="290">
        <f>LOOKUP(A188,'[2]Hoja1'!$F$2:$F$915,'[2]Hoja1'!$D$2:$D$915)</f>
        <v>1584.8485</v>
      </c>
      <c r="E188" s="262">
        <v>692.56</v>
      </c>
      <c r="F188" s="229"/>
      <c r="G188" s="208"/>
      <c r="H188" s="1"/>
      <c r="O188" s="286" t="e">
        <f>D188/#REF!</f>
        <v>#REF!</v>
      </c>
    </row>
    <row r="189" spans="1:15" ht="15">
      <c r="A189" s="185" t="s">
        <v>1311</v>
      </c>
      <c r="B189" s="176" t="s">
        <v>207</v>
      </c>
      <c r="C189" s="175" t="s">
        <v>882</v>
      </c>
      <c r="D189" s="290">
        <f>LOOKUP(A189,'[2]Hoja1'!$F$2:$F$915,'[2]Hoja1'!$D$2:$D$915)</f>
        <v>1808.2645</v>
      </c>
      <c r="E189" s="262">
        <v>762.81</v>
      </c>
      <c r="F189" s="229"/>
      <c r="G189" s="208"/>
      <c r="H189" s="1"/>
      <c r="O189" s="286" t="e">
        <f>D189/#REF!</f>
        <v>#REF!</v>
      </c>
    </row>
    <row r="190" spans="1:15" ht="15">
      <c r="A190" s="185" t="s">
        <v>1321</v>
      </c>
      <c r="B190" s="176" t="s">
        <v>1323</v>
      </c>
      <c r="C190" s="175" t="s">
        <v>882</v>
      </c>
      <c r="D190" s="290">
        <f>LOOKUP(A190,'[2]Hoja1'!$F$2:$F$915,'[2]Hoja1'!$D$2:$D$915)</f>
        <v>35000</v>
      </c>
      <c r="E190" s="265">
        <v>9504.13</v>
      </c>
      <c r="F190" s="229"/>
      <c r="G190" s="207"/>
      <c r="H190" s="1"/>
      <c r="O190" s="286" t="e">
        <f>D190/#REF!</f>
        <v>#REF!</v>
      </c>
    </row>
    <row r="191" spans="1:15" ht="15">
      <c r="A191" s="185" t="s">
        <v>1322</v>
      </c>
      <c r="B191" s="176" t="s">
        <v>1324</v>
      </c>
      <c r="C191" s="175" t="s">
        <v>882</v>
      </c>
      <c r="D191" s="290">
        <f>LOOKUP(A191,'[2]Hoja1'!$F$2:$F$915,'[2]Hoja1'!$D$2:$D$915)</f>
        <v>35000</v>
      </c>
      <c r="E191" s="265">
        <v>9504.13</v>
      </c>
      <c r="F191" s="229"/>
      <c r="G191" s="208"/>
      <c r="H191" s="1"/>
      <c r="O191" s="286" t="e">
        <f>D191/#REF!</f>
        <v>#REF!</v>
      </c>
    </row>
    <row r="192" spans="1:15" ht="15">
      <c r="A192" s="185" t="s">
        <v>1087</v>
      </c>
      <c r="B192" s="176" t="s">
        <v>1088</v>
      </c>
      <c r="C192" s="175" t="s">
        <v>882</v>
      </c>
      <c r="D192" s="290">
        <f>LOOKUP(A192,'[2]Hoja1'!$F$2:$F$915,'[2]Hoja1'!$D$2:$D$915)</f>
        <v>223.1405</v>
      </c>
      <c r="E192" s="263"/>
      <c r="F192" s="230"/>
      <c r="G192" s="206">
        <f>77/1.21</f>
        <v>63.63636363636364</v>
      </c>
      <c r="H192" s="1" t="s">
        <v>1353</v>
      </c>
      <c r="L192" s="15">
        <v>1</v>
      </c>
      <c r="O192" s="286" t="e">
        <f>D192/#REF!</f>
        <v>#REF!</v>
      </c>
    </row>
    <row r="193" spans="1:15" ht="15">
      <c r="A193" s="185" t="s">
        <v>843</v>
      </c>
      <c r="B193" s="176" t="s">
        <v>1262</v>
      </c>
      <c r="C193" s="175" t="s">
        <v>579</v>
      </c>
      <c r="D193" s="290">
        <f>LOOKUP(A193,'[2]Hoja1'!$F$2:$F$915,'[2]Hoja1'!$D$2:$D$915)</f>
        <v>18.85</v>
      </c>
      <c r="E193" s="266">
        <v>0.1885</v>
      </c>
      <c r="F193" s="230"/>
      <c r="G193" s="199"/>
      <c r="H193" s="1"/>
      <c r="L193" s="15">
        <v>1</v>
      </c>
      <c r="O193" s="286" t="e">
        <f>D193/#REF!</f>
        <v>#REF!</v>
      </c>
    </row>
    <row r="194" spans="1:15" ht="15">
      <c r="A194" s="185" t="s">
        <v>842</v>
      </c>
      <c r="B194" s="176" t="s">
        <v>945</v>
      </c>
      <c r="C194" s="175" t="s">
        <v>699</v>
      </c>
      <c r="D194" s="290">
        <f>LOOKUP(A194,'[2]Hoja1'!$F$2:$F$915,'[2]Hoja1'!$D$2:$D$915)</f>
        <v>3.9771</v>
      </c>
      <c r="E194" s="267">
        <v>2.95</v>
      </c>
      <c r="F194" s="230"/>
      <c r="G194" s="199"/>
      <c r="H194" s="1" t="s">
        <v>1269</v>
      </c>
      <c r="I194" s="15">
        <f>(2.83+2.81+2.82+2.82+2.82+2.78+2.8+2.79+2.79+2.82+2.87+2.97+2.95+2.89+2.87+2.91+2.92+2.91+2.89+2.9+2.9+2.87)/22</f>
        <v>2.8604545454545454</v>
      </c>
      <c r="L194" s="15">
        <v>1</v>
      </c>
      <c r="O194" s="286" t="e">
        <f>D194/#REF!</f>
        <v>#REF!</v>
      </c>
    </row>
    <row r="195" spans="1:15" ht="15">
      <c r="A195" s="185" t="s">
        <v>1055</v>
      </c>
      <c r="B195" s="176" t="s">
        <v>1194</v>
      </c>
      <c r="C195" s="175" t="s">
        <v>579</v>
      </c>
      <c r="D195" s="290">
        <f>LOOKUP(A195,'[2]Hoja1'!$F$2:$F$915,'[2]Hoja1'!$D$2:$D$915)</f>
        <v>12.2</v>
      </c>
      <c r="E195" s="266">
        <v>0.122</v>
      </c>
      <c r="F195" s="230"/>
      <c r="G195" s="199"/>
      <c r="H195" s="1"/>
      <c r="L195" s="15">
        <v>1</v>
      </c>
      <c r="O195" s="286" t="e">
        <f>D195/#REF!</f>
        <v>#REF!</v>
      </c>
    </row>
    <row r="196" spans="1:15" ht="15">
      <c r="A196" s="185" t="s">
        <v>1057</v>
      </c>
      <c r="B196" s="176" t="s">
        <v>1195</v>
      </c>
      <c r="C196" s="175" t="s">
        <v>882</v>
      </c>
      <c r="D196" s="290">
        <f>LOOKUP(A196,'[2]Hoja1'!$F$2:$F$915,'[2]Hoja1'!$D$2:$D$915)</f>
        <v>120</v>
      </c>
      <c r="E196" s="258">
        <v>120</v>
      </c>
      <c r="F196" s="230"/>
      <c r="G196" s="199"/>
      <c r="H196" s="1" t="s">
        <v>1402</v>
      </c>
      <c r="L196" s="15">
        <v>1</v>
      </c>
      <c r="O196" s="286" t="e">
        <f>D196/#REF!</f>
        <v>#REF!</v>
      </c>
    </row>
    <row r="197" spans="1:15" ht="15">
      <c r="A197" s="185" t="s">
        <v>1058</v>
      </c>
      <c r="B197" s="176" t="s">
        <v>1059</v>
      </c>
      <c r="C197" s="175" t="s">
        <v>602</v>
      </c>
      <c r="D197" s="290">
        <f>LOOKUP(A197,'[2]Hoja1'!$F$2:$F$915,'[2]Hoja1'!$D$2:$D$915)</f>
        <v>9.5</v>
      </c>
      <c r="E197" s="258">
        <v>9.5</v>
      </c>
      <c r="F197" s="230"/>
      <c r="G197" s="199"/>
      <c r="H197" s="1" t="s">
        <v>1401</v>
      </c>
      <c r="L197" s="15">
        <v>1</v>
      </c>
      <c r="O197" s="286" t="e">
        <f>D197/#REF!</f>
        <v>#REF!</v>
      </c>
    </row>
    <row r="198" spans="1:15" ht="15">
      <c r="A198" s="185" t="s">
        <v>1312</v>
      </c>
      <c r="B198" s="176" t="s">
        <v>1318</v>
      </c>
      <c r="C198" s="175" t="s">
        <v>882</v>
      </c>
      <c r="D198" s="290">
        <f>LOOKUP(A198,'[2]Hoja1'!$F$2:$F$915,'[2]Hoja1'!$D$2:$D$915)</f>
        <v>4064.0409</v>
      </c>
      <c r="E198" s="262">
        <v>1033.2</v>
      </c>
      <c r="F198" s="230"/>
      <c r="G198" s="208"/>
      <c r="H198" s="1"/>
      <c r="O198" s="286" t="e">
        <f>D198/#REF!</f>
        <v>#REF!</v>
      </c>
    </row>
    <row r="199" spans="1:15" ht="15">
      <c r="A199" s="185" t="s">
        <v>1313</v>
      </c>
      <c r="B199" s="176" t="s">
        <v>1317</v>
      </c>
      <c r="C199" s="175" t="s">
        <v>882</v>
      </c>
      <c r="D199" s="290">
        <f>LOOKUP(A199,'[2]Hoja1'!$F$2:$F$915,'[2]Hoja1'!$D$2:$D$915)</f>
        <v>4064.0409</v>
      </c>
      <c r="E199" s="262">
        <v>1033.2</v>
      </c>
      <c r="F199" s="230"/>
      <c r="G199" s="208"/>
      <c r="H199" s="1"/>
      <c r="O199" s="286" t="e">
        <f>D199/#REF!</f>
        <v>#REF!</v>
      </c>
    </row>
    <row r="200" spans="1:15" ht="15">
      <c r="A200" s="185" t="s">
        <v>894</v>
      </c>
      <c r="B200" s="176" t="s">
        <v>946</v>
      </c>
      <c r="C200" s="175" t="s">
        <v>882</v>
      </c>
      <c r="D200" s="290">
        <f>LOOKUP(A200,'[2]Hoja1'!$F$2:$F$915,'[2]Hoja1'!$D$2:$D$915)</f>
        <v>26.4463</v>
      </c>
      <c r="E200" s="268">
        <v>15.17</v>
      </c>
      <c r="F200" s="233"/>
      <c r="G200" s="199"/>
      <c r="H200" s="145" t="s">
        <v>1371</v>
      </c>
      <c r="L200" s="15">
        <v>1</v>
      </c>
      <c r="O200" s="286" t="e">
        <f>D200/#REF!</f>
        <v>#REF!</v>
      </c>
    </row>
    <row r="201" spans="1:15" ht="15">
      <c r="A201" s="185" t="s">
        <v>895</v>
      </c>
      <c r="B201" s="176" t="s">
        <v>896</v>
      </c>
      <c r="C201" s="175" t="s">
        <v>1072</v>
      </c>
      <c r="D201" s="290">
        <f>LOOKUP(A201,'[2]Hoja1'!$F$2:$F$915,'[2]Hoja1'!$D$2:$D$915)</f>
        <v>5.5165</v>
      </c>
      <c r="E201" s="268">
        <v>2.2</v>
      </c>
      <c r="F201" s="233"/>
      <c r="G201" s="199"/>
      <c r="H201" s="145"/>
      <c r="L201" s="15">
        <v>1</v>
      </c>
      <c r="O201" s="286" t="e">
        <f>D201/#REF!</f>
        <v>#REF!</v>
      </c>
    </row>
    <row r="202" spans="1:15" ht="15">
      <c r="A202" s="185" t="s">
        <v>126</v>
      </c>
      <c r="B202" s="177" t="s">
        <v>125</v>
      </c>
      <c r="C202" s="178" t="s">
        <v>882</v>
      </c>
      <c r="D202" s="290">
        <f>LOOKUP(A202,'[2]Hoja1'!$F$2:$F$915,'[2]Hoja1'!$D$2:$D$915)</f>
        <v>113.9876</v>
      </c>
      <c r="E202" s="269">
        <v>47.13</v>
      </c>
      <c r="F202" s="230"/>
      <c r="G202" s="199"/>
      <c r="H202" s="1"/>
      <c r="O202" s="286" t="e">
        <f>D202/#REF!</f>
        <v>#REF!</v>
      </c>
    </row>
    <row r="203" spans="1:15" ht="15">
      <c r="A203" s="185" t="s">
        <v>82</v>
      </c>
      <c r="B203" s="177" t="s">
        <v>83</v>
      </c>
      <c r="C203" s="178" t="s">
        <v>882</v>
      </c>
      <c r="D203" s="290">
        <f>LOOKUP(A203,'[2]Hoja1'!$F$2:$F$915,'[2]Hoja1'!$D$2:$D$915)</f>
        <v>26.3513</v>
      </c>
      <c r="E203" s="268">
        <v>9.33</v>
      </c>
      <c r="F203" s="230"/>
      <c r="G203" s="199"/>
      <c r="H203" s="1"/>
      <c r="O203" s="286" t="e">
        <f>D203/#REF!</f>
        <v>#REF!</v>
      </c>
    </row>
    <row r="204" spans="1:15" ht="15">
      <c r="A204" s="185" t="s">
        <v>333</v>
      </c>
      <c r="B204" s="176" t="s">
        <v>668</v>
      </c>
      <c r="C204" s="175" t="s">
        <v>475</v>
      </c>
      <c r="D204" s="290">
        <f>LOOKUP(A204,'[2]Hoja1'!$F$2:$F$915,'[2]Hoja1'!$D$2:$D$915)</f>
        <v>14.7272</v>
      </c>
      <c r="E204" s="258">
        <v>6.2206</v>
      </c>
      <c r="F204" s="230"/>
      <c r="G204" s="199"/>
      <c r="H204" s="1" t="s">
        <v>1352</v>
      </c>
      <c r="L204" s="15">
        <v>1</v>
      </c>
      <c r="O204" s="286" t="e">
        <f>D204/#REF!</f>
        <v>#REF!</v>
      </c>
    </row>
    <row r="205" spans="1:15" ht="15">
      <c r="A205" s="185" t="s">
        <v>555</v>
      </c>
      <c r="B205" s="176" t="s">
        <v>947</v>
      </c>
      <c r="C205" s="175" t="s">
        <v>882</v>
      </c>
      <c r="D205" s="290">
        <f>LOOKUP(A205,'[2]Hoja1'!$F$2:$F$915,'[2]Hoja1'!$D$2:$D$915)</f>
        <v>19.719</v>
      </c>
      <c r="E205" s="258">
        <v>11.07</v>
      </c>
      <c r="F205" s="230"/>
      <c r="G205" s="199"/>
      <c r="H205" s="1" t="s">
        <v>1366</v>
      </c>
      <c r="L205" s="15">
        <v>1</v>
      </c>
      <c r="O205" s="286" t="e">
        <f>D205/#REF!</f>
        <v>#REF!</v>
      </c>
    </row>
    <row r="206" spans="1:15" ht="15">
      <c r="A206" s="185" t="s">
        <v>844</v>
      </c>
      <c r="B206" s="176" t="s">
        <v>822</v>
      </c>
      <c r="C206" s="175" t="s">
        <v>882</v>
      </c>
      <c r="D206" s="290">
        <f>LOOKUP(A206,'[2]Hoja1'!$F$2:$F$915,'[2]Hoja1'!$D$2:$D$915)</f>
        <v>117.2884</v>
      </c>
      <c r="E206" s="258">
        <v>60.69</v>
      </c>
      <c r="F206" s="233"/>
      <c r="G206" s="199"/>
      <c r="H206" s="1"/>
      <c r="L206" s="15">
        <v>2</v>
      </c>
      <c r="O206" s="286" t="e">
        <f>D206/#REF!</f>
        <v>#REF!</v>
      </c>
    </row>
    <row r="207" spans="1:15" ht="15">
      <c r="A207" s="185" t="s">
        <v>336</v>
      </c>
      <c r="B207" s="176" t="s">
        <v>756</v>
      </c>
      <c r="C207" s="175" t="s">
        <v>882</v>
      </c>
      <c r="D207" s="290">
        <f>LOOKUP(A207,'[2]Hoja1'!$F$2:$F$915,'[2]Hoja1'!$D$2:$D$915)</f>
        <v>768.2149</v>
      </c>
      <c r="E207" s="258">
        <v>290.91</v>
      </c>
      <c r="F207" s="230"/>
      <c r="G207" s="199"/>
      <c r="H207" s="1"/>
      <c r="L207" s="15">
        <v>1</v>
      </c>
      <c r="O207" s="286" t="e">
        <f>D207/#REF!</f>
        <v>#REF!</v>
      </c>
    </row>
    <row r="208" spans="1:15" ht="15">
      <c r="A208" s="185" t="s">
        <v>335</v>
      </c>
      <c r="B208" s="176" t="s">
        <v>757</v>
      </c>
      <c r="C208" s="175" t="s">
        <v>882</v>
      </c>
      <c r="D208" s="290">
        <f>LOOKUP(A208,'[2]Hoja1'!$F$2:$F$915,'[2]Hoja1'!$D$2:$D$915)</f>
        <v>769.8199</v>
      </c>
      <c r="E208" s="258">
        <v>317.6</v>
      </c>
      <c r="F208" s="230"/>
      <c r="G208" s="199"/>
      <c r="H208" s="1"/>
      <c r="L208" s="15">
        <v>1</v>
      </c>
      <c r="O208" s="286" t="e">
        <f>D208/#REF!</f>
        <v>#REF!</v>
      </c>
    </row>
    <row r="209" spans="1:15" ht="15">
      <c r="A209" s="185" t="s">
        <v>334</v>
      </c>
      <c r="B209" s="176" t="s">
        <v>758</v>
      </c>
      <c r="C209" s="175" t="s">
        <v>882</v>
      </c>
      <c r="D209" s="290">
        <f>LOOKUP(A209,'[2]Hoja1'!$F$2:$F$915,'[2]Hoja1'!$D$2:$D$915)</f>
        <v>404.673</v>
      </c>
      <c r="E209" s="258">
        <v>267.44</v>
      </c>
      <c r="F209" s="230"/>
      <c r="G209" s="199"/>
      <c r="H209" s="1"/>
      <c r="L209" s="15">
        <v>1</v>
      </c>
      <c r="O209" s="286" t="e">
        <f>D209/#REF!</f>
        <v>#REF!</v>
      </c>
    </row>
    <row r="210" spans="1:15" ht="15">
      <c r="A210" s="185" t="s">
        <v>332</v>
      </c>
      <c r="B210" s="176" t="s">
        <v>886</v>
      </c>
      <c r="C210" s="175" t="s">
        <v>882</v>
      </c>
      <c r="D210" s="290">
        <f>LOOKUP(A210,'[2]Hoja1'!$F$2:$F$915,'[2]Hoja1'!$D$2:$D$915)</f>
        <v>66.58</v>
      </c>
      <c r="E210" s="258">
        <f>44.85/1.21</f>
        <v>37.066115702479344</v>
      </c>
      <c r="F210" s="230"/>
      <c r="G210" s="199"/>
      <c r="H210" s="1"/>
      <c r="L210" s="15">
        <v>1</v>
      </c>
      <c r="O210" s="286" t="e">
        <f>D210/#REF!</f>
        <v>#REF!</v>
      </c>
    </row>
    <row r="211" spans="1:15" ht="15">
      <c r="A211" s="185" t="s">
        <v>331</v>
      </c>
      <c r="B211" s="176" t="s">
        <v>948</v>
      </c>
      <c r="C211" s="175" t="s">
        <v>882</v>
      </c>
      <c r="D211" s="290">
        <f>LOOKUP(A211,'[2]Hoja1'!$F$2:$F$915,'[2]Hoja1'!$D$2:$D$915)</f>
        <v>31.124</v>
      </c>
      <c r="E211" s="258">
        <v>9.58</v>
      </c>
      <c r="F211" s="230"/>
      <c r="G211" s="199"/>
      <c r="H211" s="1"/>
      <c r="L211" s="15">
        <v>1</v>
      </c>
      <c r="O211" s="286" t="e">
        <f>D211/#REF!</f>
        <v>#REF!</v>
      </c>
    </row>
    <row r="212" spans="1:15" ht="15">
      <c r="A212" s="185" t="s">
        <v>78</v>
      </c>
      <c r="B212" s="176" t="s">
        <v>79</v>
      </c>
      <c r="C212" s="175" t="s">
        <v>882</v>
      </c>
      <c r="D212" s="290">
        <f>LOOKUP(A212,'[2]Hoja1'!$F$2:$F$915,'[2]Hoja1'!$D$2:$D$915)</f>
        <v>42.6777</v>
      </c>
      <c r="E212" s="269">
        <v>11.99</v>
      </c>
      <c r="F212" s="230"/>
      <c r="G212" s="199"/>
      <c r="H212" s="1"/>
      <c r="O212" s="286" t="e">
        <f>D212/#REF!</f>
        <v>#REF!</v>
      </c>
    </row>
    <row r="213" spans="1:15" ht="15">
      <c r="A213" s="185" t="s">
        <v>434</v>
      </c>
      <c r="B213" s="176" t="s">
        <v>669</v>
      </c>
      <c r="C213" s="175" t="s">
        <v>475</v>
      </c>
      <c r="D213" s="290">
        <f>LOOKUP(A213,'[2]Hoja1'!$F$2:$F$915,'[2]Hoja1'!$D$2:$D$915)</f>
        <v>24.8496</v>
      </c>
      <c r="E213" s="258">
        <v>6.92</v>
      </c>
      <c r="F213" s="230"/>
      <c r="G213" s="188"/>
      <c r="H213" s="1"/>
      <c r="L213" s="15">
        <v>1</v>
      </c>
      <c r="O213" s="286" t="e">
        <f>D213/#REF!</f>
        <v>#REF!</v>
      </c>
    </row>
    <row r="214" spans="1:15" ht="15">
      <c r="A214" s="185" t="s">
        <v>76</v>
      </c>
      <c r="B214" s="177" t="s">
        <v>77</v>
      </c>
      <c r="C214" s="178" t="s">
        <v>475</v>
      </c>
      <c r="D214" s="290">
        <f>LOOKUP(A214,'[2]Hoja1'!$F$2:$F$915,'[2]Hoja1'!$D$2:$D$915)</f>
        <v>11.0584</v>
      </c>
      <c r="E214" s="269">
        <v>31.68</v>
      </c>
      <c r="F214" s="230"/>
      <c r="G214" s="199"/>
      <c r="H214" s="1"/>
      <c r="O214" s="286" t="e">
        <f>D214/#REF!</f>
        <v>#REF!</v>
      </c>
    </row>
    <row r="215" spans="1:15" ht="15">
      <c r="A215" s="185" t="s">
        <v>913</v>
      </c>
      <c r="B215" s="176" t="s">
        <v>914</v>
      </c>
      <c r="C215" s="175" t="s">
        <v>475</v>
      </c>
      <c r="D215" s="290">
        <f>LOOKUP(A215,'[2]Hoja1'!$F$2:$F$915,'[2]Hoja1'!$D$2:$D$915)</f>
        <v>13.1069</v>
      </c>
      <c r="E215" s="258">
        <v>5.15</v>
      </c>
      <c r="F215" s="230"/>
      <c r="G215" s="199"/>
      <c r="H215" s="1"/>
      <c r="L215" s="15">
        <v>1</v>
      </c>
      <c r="O215" s="286" t="e">
        <f>D215/#REF!</f>
        <v>#REF!</v>
      </c>
    </row>
    <row r="216" spans="1:15" ht="15">
      <c r="A216" s="185" t="s">
        <v>915</v>
      </c>
      <c r="B216" s="176" t="s">
        <v>916</v>
      </c>
      <c r="C216" s="175" t="s">
        <v>475</v>
      </c>
      <c r="D216" s="290">
        <f>LOOKUP(A216,'[2]Hoja1'!$F$2:$F$915,'[2]Hoja1'!$D$2:$D$915)</f>
        <v>19.1457</v>
      </c>
      <c r="E216" s="258">
        <v>7.28</v>
      </c>
      <c r="F216" s="230"/>
      <c r="G216" s="199"/>
      <c r="H216" s="1"/>
      <c r="L216" s="15">
        <v>1</v>
      </c>
      <c r="O216" s="286" t="e">
        <f>D216/#REF!</f>
        <v>#REF!</v>
      </c>
    </row>
    <row r="217" spans="1:15" ht="15">
      <c r="A217" s="185" t="s">
        <v>80</v>
      </c>
      <c r="B217" s="176" t="s">
        <v>81</v>
      </c>
      <c r="C217" s="175" t="s">
        <v>882</v>
      </c>
      <c r="D217" s="290">
        <f>LOOKUP(A217,'[2]Hoja1'!$F$2:$F$915,'[2]Hoja1'!$D$2:$D$915)</f>
        <v>2.8264</v>
      </c>
      <c r="E217" s="258">
        <v>1.35</v>
      </c>
      <c r="F217" s="230"/>
      <c r="G217" s="199"/>
      <c r="H217" s="1"/>
      <c r="O217" s="286" t="e">
        <f>D217/#REF!</f>
        <v>#REF!</v>
      </c>
    </row>
    <row r="218" spans="1:15" ht="15">
      <c r="A218" s="185" t="s">
        <v>435</v>
      </c>
      <c r="B218" s="176" t="s">
        <v>666</v>
      </c>
      <c r="C218" s="175" t="s">
        <v>882</v>
      </c>
      <c r="D218" s="290">
        <f>LOOKUP(A218,'[2]Hoja1'!$F$2:$F$915,'[2]Hoja1'!$D$2:$D$915)</f>
        <v>3.7314</v>
      </c>
      <c r="E218" s="258">
        <f>1.5/1.21</f>
        <v>1.2396694214876034</v>
      </c>
      <c r="F218" s="230"/>
      <c r="G218" s="199"/>
      <c r="H218" s="1"/>
      <c r="L218" s="15">
        <v>1</v>
      </c>
      <c r="O218" s="286" t="e">
        <f>D218/#REF!</f>
        <v>#REF!</v>
      </c>
    </row>
    <row r="219" spans="1:15" ht="15" hidden="1">
      <c r="A219" s="209" t="s">
        <v>1438</v>
      </c>
      <c r="B219" s="177" t="s">
        <v>1450</v>
      </c>
      <c r="C219" s="178" t="s">
        <v>882</v>
      </c>
      <c r="D219" s="290">
        <f>LOOKUP(A219,'[2]Hoja1'!$F$2:$F$915,'[2]Hoja1'!$D$2:$D$915)</f>
        <v>6.6405</v>
      </c>
      <c r="E219" s="270">
        <f>E211</f>
        <v>9.58</v>
      </c>
      <c r="F219" s="230"/>
      <c r="G219" s="199"/>
      <c r="H219" s="1"/>
      <c r="O219" s="286" t="e">
        <f>D219/#REF!</f>
        <v>#REF!</v>
      </c>
    </row>
    <row r="220" spans="1:15" ht="15" hidden="1">
      <c r="A220" s="209" t="s">
        <v>1439</v>
      </c>
      <c r="B220" s="177" t="s">
        <v>1451</v>
      </c>
      <c r="C220" s="178" t="s">
        <v>882</v>
      </c>
      <c r="D220" s="290">
        <f>LOOKUP(A220,'[2]Hoja1'!$F$2:$F$915,'[2]Hoja1'!$D$2:$D$915)</f>
        <v>34.9752</v>
      </c>
      <c r="E220" s="242">
        <f>E212</f>
        <v>11.99</v>
      </c>
      <c r="F220" s="230"/>
      <c r="G220" s="199"/>
      <c r="H220" s="1"/>
      <c r="O220" s="286" t="e">
        <f>D220/#REF!</f>
        <v>#REF!</v>
      </c>
    </row>
    <row r="221" spans="1:15" ht="15" hidden="1">
      <c r="A221" s="209" t="s">
        <v>1440</v>
      </c>
      <c r="B221" s="177" t="s">
        <v>1452</v>
      </c>
      <c r="C221" s="178" t="s">
        <v>475</v>
      </c>
      <c r="D221" s="290">
        <f>LOOKUP(A221,'[2]Hoja1'!$F$2:$F$915,'[2]Hoja1'!$D$2:$D$915)</f>
        <v>12.9256</v>
      </c>
      <c r="E221" s="269">
        <f>E214</f>
        <v>31.68</v>
      </c>
      <c r="F221" s="230"/>
      <c r="G221" s="199"/>
      <c r="H221" s="1"/>
      <c r="O221" s="286" t="e">
        <f>D221/#REF!</f>
        <v>#REF!</v>
      </c>
    </row>
    <row r="222" spans="1:15" ht="15" hidden="1">
      <c r="A222" s="185" t="s">
        <v>1441</v>
      </c>
      <c r="B222" s="177" t="s">
        <v>1453</v>
      </c>
      <c r="C222" s="178" t="s">
        <v>882</v>
      </c>
      <c r="D222" s="290">
        <f>LOOKUP(A222,'[2]Hoja1'!$F$2:$F$915,'[2]Hoja1'!$D$2:$D$915)</f>
        <v>12.9256</v>
      </c>
      <c r="E222" s="270">
        <f>E217</f>
        <v>1.35</v>
      </c>
      <c r="F222" s="230"/>
      <c r="G222" s="199"/>
      <c r="H222" s="1"/>
      <c r="O222" s="286" t="e">
        <f>D222/#REF!</f>
        <v>#REF!</v>
      </c>
    </row>
    <row r="223" spans="1:15" ht="15" hidden="1">
      <c r="A223" s="185" t="s">
        <v>1442</v>
      </c>
      <c r="B223" s="177" t="s">
        <v>1454</v>
      </c>
      <c r="C223" s="178" t="s">
        <v>882</v>
      </c>
      <c r="D223" s="290">
        <f>LOOKUP(A223,'[2]Hoja1'!$F$2:$F$915,'[2]Hoja1'!$D$2:$D$915)</f>
        <v>3.9091</v>
      </c>
      <c r="E223" s="270">
        <f>E218</f>
        <v>1.2396694214876034</v>
      </c>
      <c r="F223" s="230"/>
      <c r="G223" s="199"/>
      <c r="H223" s="1"/>
      <c r="O223" s="286" t="e">
        <f>D223/#REF!</f>
        <v>#REF!</v>
      </c>
    </row>
    <row r="224" spans="1:15" ht="15">
      <c r="A224" s="185" t="s">
        <v>1443</v>
      </c>
      <c r="B224" s="177" t="s">
        <v>1455</v>
      </c>
      <c r="C224" s="178" t="s">
        <v>882</v>
      </c>
      <c r="D224" s="290">
        <f>LOOKUP(A224,'[2]Hoja1'!$F$2:$F$915,'[2]Hoja1'!$D$2:$D$915)</f>
        <v>2.5785</v>
      </c>
      <c r="E224" s="269">
        <v>1.13</v>
      </c>
      <c r="F224" s="230"/>
      <c r="G224" s="199"/>
      <c r="H224" s="1"/>
      <c r="O224" s="286" t="e">
        <f>D224/#REF!</f>
        <v>#REF!</v>
      </c>
    </row>
    <row r="225" spans="1:15" ht="15">
      <c r="A225" s="185" t="s">
        <v>1444</v>
      </c>
      <c r="B225" s="177" t="s">
        <v>1456</v>
      </c>
      <c r="C225" s="178" t="s">
        <v>882</v>
      </c>
      <c r="D225" s="290">
        <f>LOOKUP(A225,'[2]Hoja1'!$F$2:$F$915,'[2]Hoja1'!$D$2:$D$915)</f>
        <v>4.4793</v>
      </c>
      <c r="E225" s="269">
        <v>1.85</v>
      </c>
      <c r="F225" s="230"/>
      <c r="G225" s="199"/>
      <c r="H225" s="1"/>
      <c r="O225" s="286" t="e">
        <f>D225/#REF!</f>
        <v>#REF!</v>
      </c>
    </row>
    <row r="226" spans="1:15" ht="15" hidden="1">
      <c r="A226" s="209" t="s">
        <v>1445</v>
      </c>
      <c r="B226" s="177" t="s">
        <v>1457</v>
      </c>
      <c r="C226" s="178" t="s">
        <v>882</v>
      </c>
      <c r="D226" s="290">
        <f>LOOKUP(A226,'[2]Hoja1'!$F$2:$F$915,'[2]Hoja1'!$D$2:$D$915)</f>
        <v>3.9091</v>
      </c>
      <c r="E226" s="270">
        <f>E231</f>
        <v>0.61</v>
      </c>
      <c r="F226" s="230"/>
      <c r="G226" s="199"/>
      <c r="H226" s="1"/>
      <c r="O226" s="286" t="e">
        <f>D226/#REF!</f>
        <v>#REF!</v>
      </c>
    </row>
    <row r="227" spans="1:15" ht="15" hidden="1">
      <c r="A227" s="209" t="s">
        <v>1446</v>
      </c>
      <c r="B227" s="177" t="s">
        <v>1458</v>
      </c>
      <c r="C227" s="178" t="s">
        <v>882</v>
      </c>
      <c r="D227" s="290">
        <f>LOOKUP(A227,'[2]Hoja1'!$F$2:$F$915,'[2]Hoja1'!$D$2:$D$915)</f>
        <v>5.2934</v>
      </c>
      <c r="E227" s="270">
        <f>E233</f>
        <v>0.51</v>
      </c>
      <c r="F227" s="230"/>
      <c r="G227" s="199"/>
      <c r="H227" s="1"/>
      <c r="O227" s="286" t="e">
        <f>D227/#REF!</f>
        <v>#REF!</v>
      </c>
    </row>
    <row r="228" spans="1:15" ht="15" hidden="1">
      <c r="A228" s="209" t="s">
        <v>1447</v>
      </c>
      <c r="B228" s="177" t="s">
        <v>1459</v>
      </c>
      <c r="C228" s="178" t="s">
        <v>882</v>
      </c>
      <c r="D228" s="290">
        <f>LOOKUP(A228,'[2]Hoja1'!$F$2:$F$915,'[2]Hoja1'!$D$2:$D$915)</f>
        <v>8.5165</v>
      </c>
      <c r="E228" s="270">
        <f>E232</f>
        <v>0.76</v>
      </c>
      <c r="F228" s="230"/>
      <c r="G228" s="199"/>
      <c r="H228" s="1"/>
      <c r="O228" s="286" t="e">
        <f>D228/#REF!</f>
        <v>#REF!</v>
      </c>
    </row>
    <row r="229" spans="1:15" ht="15">
      <c r="A229" s="185" t="s">
        <v>1448</v>
      </c>
      <c r="B229" s="177" t="s">
        <v>1460</v>
      </c>
      <c r="C229" s="178" t="s">
        <v>882</v>
      </c>
      <c r="D229" s="290">
        <f>LOOKUP(A229,'[2]Hoja1'!$F$2:$F$915,'[2]Hoja1'!$D$2:$D$915)</f>
        <v>22.7892</v>
      </c>
      <c r="E229" s="269">
        <v>14.11</v>
      </c>
      <c r="F229" s="230"/>
      <c r="G229" s="199"/>
      <c r="H229" s="1"/>
      <c r="O229" s="286" t="e">
        <f>D229/#REF!</f>
        <v>#REF!</v>
      </c>
    </row>
    <row r="230" spans="1:15" ht="15" hidden="1">
      <c r="A230" s="185" t="s">
        <v>1449</v>
      </c>
      <c r="B230" s="177" t="s">
        <v>1461</v>
      </c>
      <c r="C230" s="178" t="s">
        <v>882</v>
      </c>
      <c r="D230" s="290">
        <f>LOOKUP(A230,'[2]Hoja1'!$F$2:$F$915,'[2]Hoja1'!$D$2:$D$915)</f>
        <v>93.9711</v>
      </c>
      <c r="E230" s="270">
        <v>9.26</v>
      </c>
      <c r="F230" s="230"/>
      <c r="G230" s="199"/>
      <c r="H230" s="1"/>
      <c r="O230" s="286" t="e">
        <f>D230/#REF!</f>
        <v>#REF!</v>
      </c>
    </row>
    <row r="231" spans="1:15" ht="15">
      <c r="A231" s="185" t="s">
        <v>100</v>
      </c>
      <c r="B231" s="177" t="s">
        <v>101</v>
      </c>
      <c r="C231" s="178" t="s">
        <v>882</v>
      </c>
      <c r="D231" s="290">
        <f>LOOKUP(A231,'[2]Hoja1'!$F$2:$F$915,'[2]Hoja1'!$D$2:$D$915)</f>
        <v>1.8389</v>
      </c>
      <c r="E231" s="269">
        <v>0.61</v>
      </c>
      <c r="F231" s="230"/>
      <c r="G231" s="199"/>
      <c r="H231" s="1"/>
      <c r="O231" s="286" t="e">
        <f>D231/#REF!</f>
        <v>#REF!</v>
      </c>
    </row>
    <row r="232" spans="1:15" ht="15">
      <c r="A232" s="185" t="s">
        <v>96</v>
      </c>
      <c r="B232" s="177" t="s">
        <v>97</v>
      </c>
      <c r="C232" s="178" t="s">
        <v>882</v>
      </c>
      <c r="D232" s="290">
        <f>LOOKUP(A232,'[2]Hoja1'!$F$2:$F$915,'[2]Hoja1'!$D$2:$D$915)</f>
        <v>2.1736</v>
      </c>
      <c r="E232" s="269">
        <v>0.76</v>
      </c>
      <c r="F232" s="230"/>
      <c r="G232" s="199"/>
      <c r="H232" s="1"/>
      <c r="O232" s="286" t="e">
        <f>D232/#REF!</f>
        <v>#REF!</v>
      </c>
    </row>
    <row r="233" spans="1:15" ht="15">
      <c r="A233" s="185" t="s">
        <v>99</v>
      </c>
      <c r="B233" s="177" t="s">
        <v>98</v>
      </c>
      <c r="C233" s="178" t="s">
        <v>882</v>
      </c>
      <c r="D233" s="290">
        <f>LOOKUP(A233,'[2]Hoja1'!$F$2:$F$915,'[2]Hoja1'!$D$2:$D$915)</f>
        <v>1.4958</v>
      </c>
      <c r="E233" s="269">
        <v>0.51</v>
      </c>
      <c r="F233" s="230"/>
      <c r="G233" s="199"/>
      <c r="H233" s="1"/>
      <c r="O233" s="286" t="e">
        <f>D233/#REF!</f>
        <v>#REF!</v>
      </c>
    </row>
    <row r="234" spans="1:15" ht="15">
      <c r="A234" s="185" t="s">
        <v>300</v>
      </c>
      <c r="B234" s="176" t="s">
        <v>612</v>
      </c>
      <c r="C234" s="175" t="s">
        <v>613</v>
      </c>
      <c r="D234" s="290">
        <f>LOOKUP(A234,'[2]Hoja1'!$F$2:$F$915,'[2]Hoja1'!$D$2:$D$915)</f>
        <v>550</v>
      </c>
      <c r="E234" s="258">
        <v>165.29</v>
      </c>
      <c r="F234" s="233"/>
      <c r="G234" s="208"/>
      <c r="H234" s="1" t="s">
        <v>1296</v>
      </c>
      <c r="L234" s="15">
        <v>2</v>
      </c>
      <c r="O234" s="286" t="e">
        <f>D234/#REF!</f>
        <v>#REF!</v>
      </c>
    </row>
    <row r="235" spans="1:15" ht="15">
      <c r="A235" s="185" t="s">
        <v>759</v>
      </c>
      <c r="B235" s="176" t="s">
        <v>760</v>
      </c>
      <c r="C235" s="175" t="s">
        <v>882</v>
      </c>
      <c r="D235" s="290">
        <f>LOOKUP(A235,'[2]Hoja1'!$F$2:$F$915,'[2]Hoja1'!$D$2:$D$915)</f>
        <v>1.339</v>
      </c>
      <c r="E235" s="258">
        <v>0.64</v>
      </c>
      <c r="F235" s="230"/>
      <c r="G235" s="199"/>
      <c r="H235" s="1" t="s">
        <v>1357</v>
      </c>
      <c r="L235" s="15">
        <v>1</v>
      </c>
      <c r="O235" s="286" t="e">
        <f>D235/#REF!</f>
        <v>#REF!</v>
      </c>
    </row>
    <row r="236" spans="1:15" ht="15">
      <c r="A236" s="185" t="s">
        <v>301</v>
      </c>
      <c r="B236" s="176" t="s">
        <v>610</v>
      </c>
      <c r="C236" s="175" t="s">
        <v>882</v>
      </c>
      <c r="D236" s="290">
        <f>LOOKUP(A236,'[2]Hoja1'!$F$2:$F$915,'[2]Hoja1'!$D$2:$D$915)</f>
        <v>1.0197</v>
      </c>
      <c r="E236" s="258">
        <v>0.48</v>
      </c>
      <c r="F236" s="230"/>
      <c r="G236" s="199"/>
      <c r="H236" s="1" t="s">
        <v>1357</v>
      </c>
      <c r="L236" s="15">
        <v>1</v>
      </c>
      <c r="O236" s="286" t="e">
        <f>D236/#REF!</f>
        <v>#REF!</v>
      </c>
    </row>
    <row r="237" spans="1:15" ht="15">
      <c r="A237" s="185" t="s">
        <v>489</v>
      </c>
      <c r="B237" s="176" t="s">
        <v>611</v>
      </c>
      <c r="C237" s="175" t="s">
        <v>882</v>
      </c>
      <c r="D237" s="290">
        <f>LOOKUP(A237,'[2]Hoja1'!$F$2:$F$915,'[2]Hoja1'!$D$2:$D$915)</f>
        <v>1.7922</v>
      </c>
      <c r="E237" s="258">
        <v>0.84</v>
      </c>
      <c r="F237" s="230"/>
      <c r="G237" s="199"/>
      <c r="H237" s="1" t="s">
        <v>1357</v>
      </c>
      <c r="L237" s="15">
        <v>1</v>
      </c>
      <c r="O237" s="286" t="e">
        <f>D237/#REF!</f>
        <v>#REF!</v>
      </c>
    </row>
    <row r="238" spans="1:15" ht="15">
      <c r="A238" s="185" t="s">
        <v>536</v>
      </c>
      <c r="B238" s="176" t="s">
        <v>122</v>
      </c>
      <c r="C238" s="175" t="s">
        <v>882</v>
      </c>
      <c r="D238" s="290">
        <f>LOOKUP(A238,'[2]Hoja1'!$F$2:$F$915,'[2]Hoja1'!$D$2:$D$915)</f>
        <v>2.5956</v>
      </c>
      <c r="E238" s="258">
        <v>1.1</v>
      </c>
      <c r="F238" s="230"/>
      <c r="G238" s="199"/>
      <c r="H238" s="1" t="s">
        <v>1357</v>
      </c>
      <c r="L238" s="15">
        <v>1</v>
      </c>
      <c r="O238" s="286" t="e">
        <f>D238/#REF!</f>
        <v>#REF!</v>
      </c>
    </row>
    <row r="239" spans="1:15" ht="15">
      <c r="A239" s="185" t="s">
        <v>313</v>
      </c>
      <c r="B239" s="176" t="s">
        <v>1363</v>
      </c>
      <c r="C239" s="175" t="s">
        <v>882</v>
      </c>
      <c r="D239" s="290">
        <f>LOOKUP(A239,'[2]Hoja1'!$F$2:$F$915,'[2]Hoja1'!$D$2:$D$915)</f>
        <v>2.6883</v>
      </c>
      <c r="E239" s="258">
        <v>1.09</v>
      </c>
      <c r="F239" s="230"/>
      <c r="G239" s="199"/>
      <c r="H239" s="1" t="s">
        <v>1357</v>
      </c>
      <c r="L239" s="15">
        <v>1</v>
      </c>
      <c r="O239" s="286" t="e">
        <f>D239/#REF!</f>
        <v>#REF!</v>
      </c>
    </row>
    <row r="240" spans="1:15" ht="15">
      <c r="A240" s="185" t="s">
        <v>306</v>
      </c>
      <c r="B240" s="176" t="s">
        <v>761</v>
      </c>
      <c r="C240" s="175" t="s">
        <v>633</v>
      </c>
      <c r="D240" s="290">
        <f>LOOKUP(A240,'[2]Hoja1'!$F$2:$F$915,'[2]Hoja1'!$D$2:$D$915)</f>
        <v>0.75</v>
      </c>
      <c r="E240" s="271">
        <v>0.34</v>
      </c>
      <c r="F240" s="233"/>
      <c r="G240" s="199"/>
      <c r="H240" s="145" t="s">
        <v>1275</v>
      </c>
      <c r="L240" s="15">
        <v>2</v>
      </c>
      <c r="O240" s="286" t="e">
        <f>D240/#REF!</f>
        <v>#REF!</v>
      </c>
    </row>
    <row r="241" spans="1:15" ht="15">
      <c r="A241" s="185" t="s">
        <v>299</v>
      </c>
      <c r="B241" s="176" t="s">
        <v>597</v>
      </c>
      <c r="C241" s="175" t="s">
        <v>633</v>
      </c>
      <c r="D241" s="290">
        <f>LOOKUP(A241,'[2]Hoja1'!$F$2:$F$915,'[2]Hoja1'!$D$2:$D$915)</f>
        <v>0.5035</v>
      </c>
      <c r="E241" s="258">
        <f>5.23/25/1.21</f>
        <v>0.1728925619834711</v>
      </c>
      <c r="F241" s="230"/>
      <c r="G241" s="199"/>
      <c r="H241" s="9"/>
      <c r="L241" s="15">
        <v>1</v>
      </c>
      <c r="O241" s="286" t="e">
        <f>D241/#REF!</f>
        <v>#REF!</v>
      </c>
    </row>
    <row r="242" spans="1:15" ht="15">
      <c r="A242" s="185" t="s">
        <v>432</v>
      </c>
      <c r="B242" s="176" t="s">
        <v>599</v>
      </c>
      <c r="C242" s="175" t="s">
        <v>1072</v>
      </c>
      <c r="D242" s="290">
        <f>LOOKUP(A242,'[2]Hoja1'!$F$2:$F$915,'[2]Hoja1'!$D$2:$D$915)</f>
        <v>65</v>
      </c>
      <c r="E242" s="258">
        <v>54</v>
      </c>
      <c r="F242" s="230"/>
      <c r="G242" s="199"/>
      <c r="H242" s="1" t="s">
        <v>1276</v>
      </c>
      <c r="L242" s="15">
        <v>1</v>
      </c>
      <c r="O242" s="286" t="e">
        <f>D242/#REF!</f>
        <v>#REF!</v>
      </c>
    </row>
    <row r="243" spans="1:15" ht="15">
      <c r="A243" s="185" t="s">
        <v>292</v>
      </c>
      <c r="B243" s="176" t="s">
        <v>598</v>
      </c>
      <c r="C243" s="175" t="s">
        <v>633</v>
      </c>
      <c r="D243" s="290">
        <f>LOOKUP(A243,'[2]Hoja1'!$F$2:$F$915,'[2]Hoja1'!$D$2:$D$915)</f>
        <v>0.4787</v>
      </c>
      <c r="E243" s="272">
        <v>0.28</v>
      </c>
      <c r="F243" s="233"/>
      <c r="G243" s="199"/>
      <c r="H243" s="106" t="s">
        <v>1277</v>
      </c>
      <c r="J243" s="15">
        <f>0.2416+0.021</f>
        <v>0.2626</v>
      </c>
      <c r="L243" s="15">
        <v>2</v>
      </c>
      <c r="O243" s="286" t="e">
        <f>D243/#REF!</f>
        <v>#REF!</v>
      </c>
    </row>
    <row r="244" spans="1:15" ht="15">
      <c r="A244" s="185" t="s">
        <v>1196</v>
      </c>
      <c r="B244" s="176" t="s">
        <v>1197</v>
      </c>
      <c r="C244" s="175" t="s">
        <v>1120</v>
      </c>
      <c r="D244" s="290">
        <f>LOOKUP(A244,'[2]Hoja1'!$F$2:$F$915,'[2]Hoja1'!$D$2:$D$915)</f>
        <v>503.5</v>
      </c>
      <c r="E244" s="258">
        <v>172.9</v>
      </c>
      <c r="F244" s="230"/>
      <c r="G244" s="210"/>
      <c r="H244" s="106" t="s">
        <v>1297</v>
      </c>
      <c r="L244" s="15">
        <v>1</v>
      </c>
      <c r="O244" s="286" t="e">
        <f>D244/#REF!</f>
        <v>#REF!</v>
      </c>
    </row>
    <row r="245" spans="1:15" ht="15">
      <c r="A245" s="185" t="s">
        <v>303</v>
      </c>
      <c r="B245" s="176" t="s">
        <v>600</v>
      </c>
      <c r="C245" s="175" t="s">
        <v>633</v>
      </c>
      <c r="D245" s="290">
        <f>LOOKUP(A245,'[2]Hoja1'!$F$2:$F$915,'[2]Hoja1'!$D$2:$D$915)</f>
        <v>1.0964</v>
      </c>
      <c r="E245" s="258">
        <v>0.43</v>
      </c>
      <c r="F245" s="230"/>
      <c r="G245" s="199"/>
      <c r="H245" s="1" t="s">
        <v>1379</v>
      </c>
      <c r="L245" s="15">
        <v>3</v>
      </c>
      <c r="O245" s="286" t="e">
        <f>D245/#REF!</f>
        <v>#REF!</v>
      </c>
    </row>
    <row r="246" spans="1:15" ht="15">
      <c r="A246" s="185" t="s">
        <v>845</v>
      </c>
      <c r="B246" s="176" t="s">
        <v>762</v>
      </c>
      <c r="C246" s="175" t="s">
        <v>602</v>
      </c>
      <c r="D246" s="290">
        <f>LOOKUP(A246,'[2]Hoja1'!$F$2:$F$915,'[2]Hoja1'!$D$2:$D$915)</f>
        <v>40.2195</v>
      </c>
      <c r="E246" s="258">
        <v>13.44</v>
      </c>
      <c r="F246" s="233"/>
      <c r="G246" s="199"/>
      <c r="H246" s="1" t="s">
        <v>1278</v>
      </c>
      <c r="L246" s="15">
        <v>2</v>
      </c>
      <c r="O246" s="286" t="e">
        <f>D246/#REF!</f>
        <v>#REF!</v>
      </c>
    </row>
    <row r="247" spans="1:15" ht="15">
      <c r="A247" s="185" t="s">
        <v>763</v>
      </c>
      <c r="B247" s="176" t="s">
        <v>764</v>
      </c>
      <c r="C247" s="175" t="s">
        <v>475</v>
      </c>
      <c r="D247" s="290">
        <f>LOOKUP(A247,'[2]Hoja1'!$F$2:$F$915,'[2]Hoja1'!$D$2:$D$915)</f>
        <v>7.716</v>
      </c>
      <c r="E247" s="258">
        <v>2.59</v>
      </c>
      <c r="F247" s="233"/>
      <c r="G247" s="199"/>
      <c r="H247" s="1"/>
      <c r="L247" s="15">
        <v>2</v>
      </c>
      <c r="O247" s="286" t="e">
        <f>D247/#REF!</f>
        <v>#REF!</v>
      </c>
    </row>
    <row r="248" spans="1:15" ht="15">
      <c r="A248" s="185" t="s">
        <v>765</v>
      </c>
      <c r="B248" s="176" t="s">
        <v>84</v>
      </c>
      <c r="C248" s="175" t="s">
        <v>602</v>
      </c>
      <c r="D248" s="290">
        <f>LOOKUP(A248,'[2]Hoja1'!$F$2:$F$915,'[2]Hoja1'!$D$2:$D$915)</f>
        <v>40.36</v>
      </c>
      <c r="E248" s="258">
        <v>14.88</v>
      </c>
      <c r="F248" s="233"/>
      <c r="G248" s="199"/>
      <c r="H248" s="1"/>
      <c r="L248" s="15">
        <v>2</v>
      </c>
      <c r="O248" s="286" t="e">
        <f>D248/#REF!</f>
        <v>#REF!</v>
      </c>
    </row>
    <row r="249" spans="1:15" ht="15">
      <c r="A249" s="185" t="s">
        <v>1462</v>
      </c>
      <c r="B249" s="176" t="s">
        <v>1465</v>
      </c>
      <c r="C249" s="175" t="s">
        <v>602</v>
      </c>
      <c r="D249" s="290">
        <f>LOOKUP(A249,'[2]Hoja1'!$F$2:$F$915,'[2]Hoja1'!$D$2:$D$915)</f>
        <v>29.777</v>
      </c>
      <c r="E249" s="258">
        <v>11.16</v>
      </c>
      <c r="F249" s="233"/>
      <c r="G249" s="199"/>
      <c r="H249" s="1"/>
      <c r="O249" s="286" t="e">
        <f>D249/#REF!</f>
        <v>#REF!</v>
      </c>
    </row>
    <row r="250" spans="1:15" ht="15" hidden="1">
      <c r="A250" s="209" t="s">
        <v>846</v>
      </c>
      <c r="B250" s="176" t="s">
        <v>103</v>
      </c>
      <c r="C250" s="175" t="s">
        <v>602</v>
      </c>
      <c r="D250" s="290">
        <f>LOOKUP(A250,'[2]Hoja1'!$F$2:$F$915,'[2]Hoja1'!$D$2:$D$915)</f>
        <v>33.735</v>
      </c>
      <c r="E250" s="263">
        <f>12.8/1.21</f>
        <v>10.578512396694215</v>
      </c>
      <c r="F250" s="233"/>
      <c r="G250" s="199"/>
      <c r="H250" s="9"/>
      <c r="L250" s="15">
        <v>2</v>
      </c>
      <c r="O250" s="286" t="e">
        <f>D250/#REF!</f>
        <v>#REF!</v>
      </c>
    </row>
    <row r="251" spans="1:15" ht="15">
      <c r="A251" s="185" t="s">
        <v>846</v>
      </c>
      <c r="B251" s="176" t="s">
        <v>766</v>
      </c>
      <c r="C251" s="175" t="s">
        <v>602</v>
      </c>
      <c r="D251" s="290">
        <f>LOOKUP(A251,'[2]Hoja1'!$F$2:$F$915,'[2]Hoja1'!$D$2:$D$915)</f>
        <v>33.735</v>
      </c>
      <c r="E251" s="271">
        <v>11.49</v>
      </c>
      <c r="F251" s="233"/>
      <c r="G251" s="199"/>
      <c r="H251" s="1"/>
      <c r="L251" s="15">
        <v>2</v>
      </c>
      <c r="O251" s="286" t="e">
        <f>D251/#REF!</f>
        <v>#REF!</v>
      </c>
    </row>
    <row r="252" spans="1:15" ht="15">
      <c r="A252" s="185" t="s">
        <v>1463</v>
      </c>
      <c r="B252" s="176" t="s">
        <v>1466</v>
      </c>
      <c r="C252" s="175" t="s">
        <v>602</v>
      </c>
      <c r="D252" s="290">
        <f>LOOKUP(A252,'[2]Hoja1'!$F$2:$F$915,'[2]Hoja1'!$D$2:$D$915)</f>
        <v>20.663</v>
      </c>
      <c r="E252" s="271">
        <v>7.44</v>
      </c>
      <c r="F252" s="233"/>
      <c r="G252" s="199"/>
      <c r="H252" s="1"/>
      <c r="O252" s="286" t="e">
        <f>D252/#REF!</f>
        <v>#REF!</v>
      </c>
    </row>
    <row r="253" spans="1:15" ht="15">
      <c r="A253" s="185" t="s">
        <v>1464</v>
      </c>
      <c r="B253" s="176" t="s">
        <v>1467</v>
      </c>
      <c r="C253" s="175" t="s">
        <v>475</v>
      </c>
      <c r="D253" s="290">
        <f>LOOKUP(A253,'[2]Hoja1'!$F$2:$F$915,'[2]Hoja1'!$D$2:$D$915)</f>
        <v>3.43</v>
      </c>
      <c r="E253" s="271">
        <v>0.91</v>
      </c>
      <c r="F253" s="233"/>
      <c r="G253" s="199"/>
      <c r="H253" s="1"/>
      <c r="O253" s="286" t="e">
        <f>D253/#REF!</f>
        <v>#REF!</v>
      </c>
    </row>
    <row r="254" spans="1:15" ht="15">
      <c r="A254" s="185" t="s">
        <v>424</v>
      </c>
      <c r="B254" s="176" t="s">
        <v>670</v>
      </c>
      <c r="C254" s="175" t="s">
        <v>475</v>
      </c>
      <c r="D254" s="290">
        <f>LOOKUP(A254,'[2]Hoja1'!$F$2:$F$915,'[2]Hoja1'!$D$2:$D$915)</f>
        <v>19.3255</v>
      </c>
      <c r="E254" s="258">
        <v>6.5</v>
      </c>
      <c r="F254" s="233"/>
      <c r="G254" s="199"/>
      <c r="H254" s="1"/>
      <c r="L254" s="15">
        <v>2</v>
      </c>
      <c r="O254" s="286" t="e">
        <f>D254/#REF!</f>
        <v>#REF!</v>
      </c>
    </row>
    <row r="255" spans="1:15" ht="15">
      <c r="A255" s="185" t="s">
        <v>1468</v>
      </c>
      <c r="B255" s="176" t="s">
        <v>1473</v>
      </c>
      <c r="C255" s="175" t="s">
        <v>602</v>
      </c>
      <c r="D255" s="290">
        <f>LOOKUP(A255,'[2]Hoja1'!$F$2:$F$915,'[2]Hoja1'!$D$2:$D$915)</f>
        <v>55.2465</v>
      </c>
      <c r="E255" s="258">
        <v>24.8065</v>
      </c>
      <c r="F255" s="233"/>
      <c r="G255" s="199"/>
      <c r="H255" s="1"/>
      <c r="O255" s="286" t="e">
        <f>D255/#REF!</f>
        <v>#REF!</v>
      </c>
    </row>
    <row r="256" spans="1:15" ht="15">
      <c r="A256" s="185" t="s">
        <v>1469</v>
      </c>
      <c r="B256" s="176" t="s">
        <v>1474</v>
      </c>
      <c r="C256" s="175" t="s">
        <v>602</v>
      </c>
      <c r="D256" s="290">
        <f>LOOKUP(A256,'[2]Hoja1'!$F$2:$F$915,'[2]Hoja1'!$D$2:$D$915)</f>
        <v>60.966</v>
      </c>
      <c r="E256" s="258">
        <v>28.105</v>
      </c>
      <c r="F256" s="233"/>
      <c r="G256" s="199"/>
      <c r="H256" s="1"/>
      <c r="O256" s="286" t="e">
        <f>D256/#REF!</f>
        <v>#REF!</v>
      </c>
    </row>
    <row r="257" spans="1:15" ht="15">
      <c r="A257" s="185" t="s">
        <v>425</v>
      </c>
      <c r="B257" s="176" t="s">
        <v>671</v>
      </c>
      <c r="C257" s="175" t="s">
        <v>475</v>
      </c>
      <c r="D257" s="290">
        <f>LOOKUP(A257,'[2]Hoja1'!$F$2:$F$915,'[2]Hoja1'!$D$2:$D$915)</f>
        <v>1.82</v>
      </c>
      <c r="E257" s="258">
        <v>0.63</v>
      </c>
      <c r="F257" s="233"/>
      <c r="G257" s="199"/>
      <c r="H257" s="1"/>
      <c r="L257" s="15">
        <v>2</v>
      </c>
      <c r="O257" s="286" t="e">
        <f>D257/#REF!</f>
        <v>#REF!</v>
      </c>
    </row>
    <row r="258" spans="1:15" ht="15">
      <c r="A258" s="185" t="s">
        <v>1470</v>
      </c>
      <c r="B258" s="176" t="s">
        <v>1475</v>
      </c>
      <c r="C258" s="175" t="s">
        <v>475</v>
      </c>
      <c r="D258" s="290">
        <f>LOOKUP(A258,'[2]Hoja1'!$F$2:$F$915,'[2]Hoja1'!$D$2:$D$915)</f>
        <v>8.6</v>
      </c>
      <c r="E258" s="258">
        <v>3.9669</v>
      </c>
      <c r="F258" s="233"/>
      <c r="G258" s="199"/>
      <c r="H258" s="1"/>
      <c r="O258" s="286" t="e">
        <f>D258/#REF!</f>
        <v>#REF!</v>
      </c>
    </row>
    <row r="259" spans="1:15" ht="15">
      <c r="A259" s="185" t="s">
        <v>1471</v>
      </c>
      <c r="B259" s="176" t="s">
        <v>1476</v>
      </c>
      <c r="C259" s="175" t="s">
        <v>602</v>
      </c>
      <c r="D259" s="290">
        <f>LOOKUP(A259,'[2]Hoja1'!$F$2:$F$915,'[2]Hoja1'!$D$2:$D$915)</f>
        <v>99.9</v>
      </c>
      <c r="E259" s="258">
        <v>48.6777</v>
      </c>
      <c r="F259" s="233"/>
      <c r="G259" s="199"/>
      <c r="H259" s="1"/>
      <c r="O259" s="286" t="e">
        <f>D259/#REF!</f>
        <v>#REF!</v>
      </c>
    </row>
    <row r="260" spans="1:15" ht="15">
      <c r="A260" s="185" t="s">
        <v>1472</v>
      </c>
      <c r="B260" s="176" t="s">
        <v>1477</v>
      </c>
      <c r="C260" s="175" t="s">
        <v>475</v>
      </c>
      <c r="D260" s="290">
        <f>LOOKUP(A260,'[2]Hoja1'!$F$2:$F$915,'[2]Hoja1'!$D$2:$D$915)</f>
        <v>19.09</v>
      </c>
      <c r="E260" s="258">
        <v>7.7934</v>
      </c>
      <c r="F260" s="233"/>
      <c r="G260" s="199"/>
      <c r="H260" s="1"/>
      <c r="O260" s="286" t="e">
        <f>D260/#REF!</f>
        <v>#REF!</v>
      </c>
    </row>
    <row r="261" spans="1:15" ht="15">
      <c r="A261" s="185" t="s">
        <v>430</v>
      </c>
      <c r="B261" s="176" t="s">
        <v>672</v>
      </c>
      <c r="C261" s="175" t="s">
        <v>475</v>
      </c>
      <c r="D261" s="290">
        <f>LOOKUP(A261,'[2]Hoja1'!$F$2:$F$915,'[2]Hoja1'!$D$2:$D$915)</f>
        <v>6.3695</v>
      </c>
      <c r="E261" s="258">
        <v>2.2397</v>
      </c>
      <c r="F261" s="233"/>
      <c r="G261" s="199"/>
      <c r="H261" s="1"/>
      <c r="L261" s="15">
        <v>2</v>
      </c>
      <c r="O261" s="286" t="e">
        <f>D261/#REF!</f>
        <v>#REF!</v>
      </c>
    </row>
    <row r="262" spans="1:15" ht="15">
      <c r="A262" s="185" t="s">
        <v>1198</v>
      </c>
      <c r="B262" s="176" t="s">
        <v>1199</v>
      </c>
      <c r="C262" s="175" t="s">
        <v>882</v>
      </c>
      <c r="D262" s="290">
        <f>LOOKUP(A262,'[2]Hoja1'!$F$2:$F$915,'[2]Hoja1'!$D$2:$D$915)</f>
        <v>66.1157</v>
      </c>
      <c r="E262" s="273"/>
      <c r="F262" s="230"/>
      <c r="G262" s="202">
        <v>27</v>
      </c>
      <c r="H262" s="107" t="s">
        <v>1279</v>
      </c>
      <c r="L262" s="15">
        <v>1</v>
      </c>
      <c r="O262" s="286" t="e">
        <f>D262/#REF!</f>
        <v>#REF!</v>
      </c>
    </row>
    <row r="263" spans="1:15" ht="15">
      <c r="A263" s="185" t="s">
        <v>1200</v>
      </c>
      <c r="B263" s="176" t="s">
        <v>1201</v>
      </c>
      <c r="C263" s="175" t="s">
        <v>882</v>
      </c>
      <c r="D263" s="290">
        <f>LOOKUP(A263,'[2]Hoja1'!$F$2:$F$915,'[2]Hoja1'!$D$2:$D$915)</f>
        <v>35.124</v>
      </c>
      <c r="E263" s="273"/>
      <c r="F263" s="230"/>
      <c r="G263" s="202">
        <v>18</v>
      </c>
      <c r="H263" s="107" t="s">
        <v>1279</v>
      </c>
      <c r="L263" s="15">
        <v>1</v>
      </c>
      <c r="O263" s="286" t="e">
        <f>D263/#REF!</f>
        <v>#REF!</v>
      </c>
    </row>
    <row r="264" spans="1:15" ht="15">
      <c r="A264" s="185" t="s">
        <v>1202</v>
      </c>
      <c r="B264" s="176" t="s">
        <v>1203</v>
      </c>
      <c r="C264" s="175" t="s">
        <v>882</v>
      </c>
      <c r="D264" s="290">
        <f>LOOKUP(A264,'[2]Hoja1'!$F$2:$F$915,'[2]Hoja1'!$D$2:$D$915)</f>
        <v>2.686</v>
      </c>
      <c r="E264" s="263"/>
      <c r="F264" s="230"/>
      <c r="G264" s="202">
        <v>1.1</v>
      </c>
      <c r="H264" s="107" t="s">
        <v>1279</v>
      </c>
      <c r="L264" s="15">
        <v>1</v>
      </c>
      <c r="O264" s="286" t="e">
        <f>D264/#REF!</f>
        <v>#REF!</v>
      </c>
    </row>
    <row r="265" spans="1:15" ht="15">
      <c r="A265" s="185" t="s">
        <v>1204</v>
      </c>
      <c r="B265" s="176" t="s">
        <v>1205</v>
      </c>
      <c r="C265" s="175" t="s">
        <v>882</v>
      </c>
      <c r="D265" s="290">
        <f>LOOKUP(A265,'[2]Hoja1'!$F$2:$F$915,'[2]Hoja1'!$D$2:$D$915)</f>
        <v>2.2727</v>
      </c>
      <c r="E265" s="263"/>
      <c r="F265" s="230"/>
      <c r="G265" s="202">
        <v>0.9</v>
      </c>
      <c r="H265" s="107" t="s">
        <v>1279</v>
      </c>
      <c r="L265" s="15">
        <v>1</v>
      </c>
      <c r="O265" s="286" t="e">
        <f>D265/#REF!</f>
        <v>#REF!</v>
      </c>
    </row>
    <row r="266" spans="1:15" ht="15">
      <c r="A266" s="185" t="s">
        <v>1206</v>
      </c>
      <c r="B266" s="176" t="s">
        <v>1303</v>
      </c>
      <c r="C266" s="175" t="s">
        <v>882</v>
      </c>
      <c r="D266" s="290">
        <f>LOOKUP(A266,'[2]Hoja1'!$F$2:$F$915,'[2]Hoja1'!$D$2:$D$915)</f>
        <v>1972.4</v>
      </c>
      <c r="E266" s="263"/>
      <c r="F266" s="230"/>
      <c r="G266" s="202">
        <f>322+91+910</f>
        <v>1323</v>
      </c>
      <c r="H266" s="107" t="s">
        <v>1279</v>
      </c>
      <c r="I266" s="107"/>
      <c r="J266" s="121"/>
      <c r="L266" s="15">
        <v>1</v>
      </c>
      <c r="O266" s="286" t="e">
        <f>D266/#REF!</f>
        <v>#REF!</v>
      </c>
    </row>
    <row r="267" spans="1:15" ht="15">
      <c r="A267" s="185" t="s">
        <v>1478</v>
      </c>
      <c r="B267" s="176" t="s">
        <v>1479</v>
      </c>
      <c r="C267" s="175" t="s">
        <v>602</v>
      </c>
      <c r="D267" s="290">
        <f>LOOKUP(A267,'[2]Hoja1'!$F$2:$F$915,'[2]Hoja1'!$D$2:$D$915)</f>
        <v>78.243</v>
      </c>
      <c r="E267" s="258">
        <v>27.76</v>
      </c>
      <c r="F267" s="230" t="s">
        <v>1090</v>
      </c>
      <c r="G267" s="211"/>
      <c r="H267" s="107"/>
      <c r="I267" s="107"/>
      <c r="J267" s="121"/>
      <c r="O267" s="286" t="e">
        <f>D267/#REF!</f>
        <v>#REF!</v>
      </c>
    </row>
    <row r="268" spans="1:15" ht="15">
      <c r="A268" s="185" t="s">
        <v>587</v>
      </c>
      <c r="B268" s="176" t="s">
        <v>588</v>
      </c>
      <c r="C268" s="175" t="s">
        <v>589</v>
      </c>
      <c r="D268" s="290">
        <f>LOOKUP(A268,'[2]Hoja1'!$F$2:$F$915,'[2]Hoja1'!$D$2:$D$915)</f>
        <v>27.8</v>
      </c>
      <c r="E268" s="262">
        <v>5.612</v>
      </c>
      <c r="F268" s="230"/>
      <c r="G268" s="199"/>
      <c r="H268" s="9" t="s">
        <v>1326</v>
      </c>
      <c r="I268" s="158">
        <f>106.9/176</f>
        <v>0.6073863636363637</v>
      </c>
      <c r="J268" s="159" t="s">
        <v>1325</v>
      </c>
      <c r="L268" s="15">
        <v>1</v>
      </c>
      <c r="O268" s="286" t="e">
        <f>D268/#REF!</f>
        <v>#REF!</v>
      </c>
    </row>
    <row r="269" spans="1:15" ht="15">
      <c r="A269" s="185" t="s">
        <v>590</v>
      </c>
      <c r="B269" s="176" t="s">
        <v>591</v>
      </c>
      <c r="C269" s="175" t="s">
        <v>589</v>
      </c>
      <c r="D269" s="290">
        <f>LOOKUP(A269,'[2]Hoja1'!$F$2:$F$915,'[2]Hoja1'!$D$2:$D$915)</f>
        <v>23.78</v>
      </c>
      <c r="E269" s="262">
        <v>5.378</v>
      </c>
      <c r="F269" s="230"/>
      <c r="G269" s="199"/>
      <c r="H269" s="9"/>
      <c r="I269" s="160">
        <v>0.069</v>
      </c>
      <c r="J269" s="15" t="s">
        <v>1298</v>
      </c>
      <c r="L269" s="15">
        <v>1</v>
      </c>
      <c r="O269" s="286" t="e">
        <f>D269/#REF!</f>
        <v>#REF!</v>
      </c>
    </row>
    <row r="270" spans="1:15" ht="15">
      <c r="A270" s="185" t="s">
        <v>592</v>
      </c>
      <c r="B270" s="176" t="s">
        <v>593</v>
      </c>
      <c r="C270" s="175" t="s">
        <v>589</v>
      </c>
      <c r="D270" s="290">
        <f>LOOKUP(A270,'[2]Hoja1'!$F$2:$F$915,'[2]Hoja1'!$D$2:$D$915)</f>
        <v>21.92</v>
      </c>
      <c r="E270" s="262">
        <v>5.221</v>
      </c>
      <c r="F270" s="230"/>
      <c r="G270" s="199"/>
      <c r="H270" s="9"/>
      <c r="L270" s="15">
        <v>1</v>
      </c>
      <c r="O270" s="286" t="e">
        <f>D270/#REF!</f>
        <v>#REF!</v>
      </c>
    </row>
    <row r="271" spans="1:15" ht="15">
      <c r="A271" s="185" t="s">
        <v>594</v>
      </c>
      <c r="B271" s="176" t="s">
        <v>595</v>
      </c>
      <c r="C271" s="175" t="s">
        <v>589</v>
      </c>
      <c r="D271" s="290">
        <f>LOOKUP(A271,'[2]Hoja1'!$F$2:$F$915,'[2]Hoja1'!$D$2:$D$915)</f>
        <v>20.22</v>
      </c>
      <c r="E271" s="262">
        <v>5.182</v>
      </c>
      <c r="F271" s="230"/>
      <c r="G271" s="199"/>
      <c r="H271" s="9"/>
      <c r="L271" s="15">
        <v>1</v>
      </c>
      <c r="O271" s="286" t="e">
        <f>D271/#REF!</f>
        <v>#REF!</v>
      </c>
    </row>
    <row r="272" spans="1:15" ht="15">
      <c r="A272" s="185" t="s">
        <v>1207</v>
      </c>
      <c r="B272" s="176" t="s">
        <v>1208</v>
      </c>
      <c r="C272" s="175" t="s">
        <v>589</v>
      </c>
      <c r="D272" s="290">
        <f>LOOKUP(A272,'[2]Hoja1'!$F$2:$F$915,'[2]Hoja1'!$D$2:$D$915)</f>
        <v>23.93</v>
      </c>
      <c r="E272" s="274">
        <f>(E271+E269+E268)/3</f>
        <v>5.390666666666667</v>
      </c>
      <c r="F272" s="229"/>
      <c r="G272" s="198"/>
      <c r="H272" s="9"/>
      <c r="L272" s="15">
        <v>1</v>
      </c>
      <c r="O272" s="286" t="e">
        <f>D272/#REF!</f>
        <v>#REF!</v>
      </c>
    </row>
    <row r="273" spans="1:15" ht="15">
      <c r="A273" s="185" t="s">
        <v>289</v>
      </c>
      <c r="B273" s="176" t="s">
        <v>596</v>
      </c>
      <c r="C273" s="175" t="s">
        <v>589</v>
      </c>
      <c r="D273" s="290">
        <f>LOOKUP(A273,'[2]Hoja1'!$F$2:$F$915,'[2]Hoja1'!$D$2:$D$915)</f>
        <v>21.86</v>
      </c>
      <c r="E273" s="274">
        <f>ROUND(0.1*E268+0.2*E269+0.1*E270+0.6*E271,3)</f>
        <v>5.268</v>
      </c>
      <c r="F273" s="229"/>
      <c r="G273" s="198"/>
      <c r="H273" s="1"/>
      <c r="L273" s="15">
        <v>1</v>
      </c>
      <c r="O273" s="286" t="e">
        <f>D273/#REF!</f>
        <v>#REF!</v>
      </c>
    </row>
    <row r="274" spans="1:15" ht="15">
      <c r="A274" s="185" t="s">
        <v>325</v>
      </c>
      <c r="B274" s="176" t="s">
        <v>679</v>
      </c>
      <c r="C274" s="175" t="s">
        <v>589</v>
      </c>
      <c r="D274" s="290">
        <f>LOOKUP(A274,'[2]Hoja1'!$F$2:$F$915,'[2]Hoja1'!$D$2:$D$915)</f>
        <v>25.29</v>
      </c>
      <c r="E274" s="274">
        <f>ROUND(0.6*E268+0.1*E269+0.1*E270+0.2*E271,3)</f>
        <v>5.464</v>
      </c>
      <c r="F274" s="229"/>
      <c r="G274" s="198"/>
      <c r="H274" s="1"/>
      <c r="L274" s="15">
        <v>1</v>
      </c>
      <c r="O274" s="286" t="e">
        <f>D274/#REF!</f>
        <v>#REF!</v>
      </c>
    </row>
    <row r="275" spans="1:15" ht="15">
      <c r="A275" s="185" t="s">
        <v>1314</v>
      </c>
      <c r="B275" s="176" t="s">
        <v>1315</v>
      </c>
      <c r="C275" s="175" t="s">
        <v>589</v>
      </c>
      <c r="D275" s="290">
        <f>LOOKUP(A275,'[2]Hoja1'!$F$2:$F$915,'[2]Hoja1'!$D$2:$D$915)</f>
        <v>27.8</v>
      </c>
      <c r="E275" s="275">
        <f>E268</f>
        <v>5.612</v>
      </c>
      <c r="F275" s="229"/>
      <c r="G275" s="198"/>
      <c r="H275" s="1"/>
      <c r="O275" s="286" t="e">
        <f>D275/#REF!</f>
        <v>#REF!</v>
      </c>
    </row>
    <row r="276" spans="1:15" ht="15">
      <c r="A276" s="212" t="s">
        <v>917</v>
      </c>
      <c r="B276" s="176" t="s">
        <v>1360</v>
      </c>
      <c r="C276" s="175" t="s">
        <v>882</v>
      </c>
      <c r="D276" s="290">
        <f>LOOKUP(A276,'[2]Hoja1'!$F$2:$F$915,'[2]Hoja1'!$D$2:$D$915)</f>
        <v>5029.5949</v>
      </c>
      <c r="E276" s="276">
        <v>2468.23</v>
      </c>
      <c r="F276" s="230"/>
      <c r="G276" s="199"/>
      <c r="H276" s="1" t="s">
        <v>1280</v>
      </c>
      <c r="L276" s="15">
        <v>1</v>
      </c>
      <c r="O276" s="286" t="e">
        <f>D276/#REF!</f>
        <v>#REF!</v>
      </c>
    </row>
    <row r="277" spans="1:15" ht="15">
      <c r="A277" s="212" t="s">
        <v>918</v>
      </c>
      <c r="B277" s="176" t="s">
        <v>919</v>
      </c>
      <c r="C277" s="175" t="s">
        <v>882</v>
      </c>
      <c r="D277" s="290">
        <f>LOOKUP(A277,'[2]Hoja1'!$F$2:$F$915,'[2]Hoja1'!$D$2:$D$915)</f>
        <v>6183.1131</v>
      </c>
      <c r="E277" s="276">
        <v>2850.02</v>
      </c>
      <c r="F277" s="230"/>
      <c r="G277" s="199"/>
      <c r="H277" s="1"/>
      <c r="O277" s="286" t="e">
        <f>D277/#REF!</f>
        <v>#REF!</v>
      </c>
    </row>
    <row r="278" spans="1:15" ht="15">
      <c r="A278" s="212" t="s">
        <v>920</v>
      </c>
      <c r="B278" s="179" t="s">
        <v>921</v>
      </c>
      <c r="C278" s="175" t="s">
        <v>882</v>
      </c>
      <c r="D278" s="290">
        <f>LOOKUP(A278,'[2]Hoja1'!$F$2:$F$915,'[2]Hoja1'!$D$2:$D$915)</f>
        <v>2356.595</v>
      </c>
      <c r="E278" s="277">
        <v>2139.79</v>
      </c>
      <c r="F278" s="230"/>
      <c r="G278" s="199"/>
      <c r="H278" s="1"/>
      <c r="L278" s="15">
        <v>1</v>
      </c>
      <c r="O278" s="286" t="e">
        <f>D278/#REF!</f>
        <v>#REF!</v>
      </c>
    </row>
    <row r="279" spans="1:15" ht="15">
      <c r="A279" s="212" t="s">
        <v>922</v>
      </c>
      <c r="B279" s="176" t="s">
        <v>923</v>
      </c>
      <c r="C279" s="175" t="s">
        <v>882</v>
      </c>
      <c r="D279" s="290">
        <f>LOOKUP(A279,'[2]Hoja1'!$F$2:$F$915,'[2]Hoja1'!$D$2:$D$915)</f>
        <v>970.876</v>
      </c>
      <c r="E279" s="276">
        <f>807.75/1.21</f>
        <v>667.5619834710744</v>
      </c>
      <c r="F279" s="230"/>
      <c r="G279" s="199"/>
      <c r="H279" s="1"/>
      <c r="L279" s="15">
        <v>1</v>
      </c>
      <c r="O279" s="286" t="e">
        <f>D279/#REF!</f>
        <v>#REF!</v>
      </c>
    </row>
    <row r="280" spans="1:15" ht="15">
      <c r="A280" s="212" t="s">
        <v>924</v>
      </c>
      <c r="B280" s="176" t="s">
        <v>925</v>
      </c>
      <c r="C280" s="175" t="s">
        <v>475</v>
      </c>
      <c r="D280" s="290">
        <f>LOOKUP(A280,'[2]Hoja1'!$F$2:$F$915,'[2]Hoja1'!$D$2:$D$915)</f>
        <v>70.1983</v>
      </c>
      <c r="E280" s="276">
        <v>26.86</v>
      </c>
      <c r="F280" s="230"/>
      <c r="G280" s="199"/>
      <c r="H280" s="1"/>
      <c r="L280" s="15">
        <v>1</v>
      </c>
      <c r="O280" s="286" t="e">
        <f>D280/#REF!</f>
        <v>#REF!</v>
      </c>
    </row>
    <row r="281" spans="1:15" ht="15">
      <c r="A281" s="212" t="s">
        <v>926</v>
      </c>
      <c r="B281" s="176" t="s">
        <v>1048</v>
      </c>
      <c r="C281" s="175" t="s">
        <v>475</v>
      </c>
      <c r="D281" s="290">
        <f>LOOKUP(A281,'[2]Hoja1'!$F$2:$F$915,'[2]Hoja1'!$D$2:$D$915)</f>
        <v>185.9078</v>
      </c>
      <c r="E281" s="276">
        <v>42.23</v>
      </c>
      <c r="F281" s="230"/>
      <c r="G281" s="199"/>
      <c r="H281" s="1"/>
      <c r="L281" s="15">
        <v>1</v>
      </c>
      <c r="O281" s="286" t="e">
        <f>D281/#REF!</f>
        <v>#REF!</v>
      </c>
    </row>
    <row r="282" spans="1:15" ht="15">
      <c r="A282" s="185" t="s">
        <v>438</v>
      </c>
      <c r="B282" s="176" t="s">
        <v>767</v>
      </c>
      <c r="C282" s="175" t="s">
        <v>1071</v>
      </c>
      <c r="D282" s="290">
        <f>LOOKUP(A282,'[2]Hoja1'!$F$2:$F$915,'[2]Hoja1'!$D$2:$D$915)</f>
        <v>7.7879</v>
      </c>
      <c r="E282" s="258">
        <v>3.64</v>
      </c>
      <c r="F282" s="230"/>
      <c r="G282" s="199"/>
      <c r="H282" s="1" t="s">
        <v>1281</v>
      </c>
      <c r="L282" s="15">
        <v>3</v>
      </c>
      <c r="O282" s="286" t="e">
        <f>D282/#REF!</f>
        <v>#REF!</v>
      </c>
    </row>
    <row r="283" spans="1:15" ht="15">
      <c r="A283" s="185" t="s">
        <v>890</v>
      </c>
      <c r="B283" s="176" t="s">
        <v>768</v>
      </c>
      <c r="C283" s="175" t="s">
        <v>882</v>
      </c>
      <c r="D283" s="290">
        <f>LOOKUP(A283,'[2]Hoja1'!$F$2:$F$915,'[2]Hoja1'!$D$2:$D$915)</f>
        <v>96.0827</v>
      </c>
      <c r="E283" s="258">
        <v>35.25</v>
      </c>
      <c r="F283" s="230"/>
      <c r="G283" s="199"/>
      <c r="H283" s="1"/>
      <c r="O283" s="286" t="e">
        <f>D283/#REF!</f>
        <v>#REF!</v>
      </c>
    </row>
    <row r="284" spans="1:15" ht="15">
      <c r="A284" s="185" t="s">
        <v>344</v>
      </c>
      <c r="B284" s="176" t="s">
        <v>631</v>
      </c>
      <c r="C284" s="175" t="s">
        <v>882</v>
      </c>
      <c r="D284" s="290">
        <f>LOOKUP(A284,'[2]Hoja1'!$F$2:$F$915,'[2]Hoja1'!$D$2:$D$915)</f>
        <v>117.2369</v>
      </c>
      <c r="E284" s="258">
        <v>39.92</v>
      </c>
      <c r="F284" s="230"/>
      <c r="G284" s="199"/>
      <c r="H284" s="1"/>
      <c r="O284" s="286" t="e">
        <f>D284/#REF!</f>
        <v>#REF!</v>
      </c>
    </row>
    <row r="285" spans="1:15" ht="15">
      <c r="A285" s="185" t="s">
        <v>446</v>
      </c>
      <c r="B285" s="176" t="s">
        <v>656</v>
      </c>
      <c r="C285" s="175" t="s">
        <v>882</v>
      </c>
      <c r="D285" s="290">
        <f>LOOKUP(A285,'[2]Hoja1'!$F$2:$F$915,'[2]Hoja1'!$D$2:$D$915)</f>
        <v>6.022</v>
      </c>
      <c r="E285" s="258">
        <v>2.31</v>
      </c>
      <c r="F285" s="230"/>
      <c r="G285" s="199"/>
      <c r="H285" s="1"/>
      <c r="L285" s="15">
        <v>3</v>
      </c>
      <c r="O285" s="286" t="e">
        <f>D285/#REF!</f>
        <v>#REF!</v>
      </c>
    </row>
    <row r="286" spans="1:15" ht="15">
      <c r="A286" s="185" t="s">
        <v>343</v>
      </c>
      <c r="B286" s="176" t="s">
        <v>632</v>
      </c>
      <c r="C286" s="175" t="s">
        <v>882</v>
      </c>
      <c r="D286" s="290">
        <f>LOOKUP(A286,'[2]Hoja1'!$F$2:$F$915,'[2]Hoja1'!$D$2:$D$915)</f>
        <v>277.7493</v>
      </c>
      <c r="E286" s="258">
        <v>135.59</v>
      </c>
      <c r="F286" s="230"/>
      <c r="G286" s="199"/>
      <c r="H286" s="1"/>
      <c r="L286" s="15">
        <v>3</v>
      </c>
      <c r="O286" s="286" t="e">
        <f>D286/#REF!</f>
        <v>#REF!</v>
      </c>
    </row>
    <row r="287" spans="1:15" ht="15">
      <c r="A287" s="185" t="s">
        <v>346</v>
      </c>
      <c r="B287" s="176" t="s">
        <v>608</v>
      </c>
      <c r="C287" s="175" t="s">
        <v>1071</v>
      </c>
      <c r="D287" s="290">
        <f>LOOKUP(A287,'[2]Hoja1'!$F$2:$F$915,'[2]Hoja1'!$D$2:$D$915)</f>
        <v>9.843</v>
      </c>
      <c r="E287" s="258">
        <v>3.6825</v>
      </c>
      <c r="F287" s="233"/>
      <c r="G287" s="199"/>
      <c r="H287" s="1"/>
      <c r="J287" s="161" t="s">
        <v>1328</v>
      </c>
      <c r="L287" s="15">
        <v>2</v>
      </c>
      <c r="O287" s="286" t="e">
        <f>D287/#REF!</f>
        <v>#REF!</v>
      </c>
    </row>
    <row r="288" spans="1:15" ht="15">
      <c r="A288" s="185" t="s">
        <v>437</v>
      </c>
      <c r="B288" s="176" t="s">
        <v>657</v>
      </c>
      <c r="C288" s="175" t="s">
        <v>1071</v>
      </c>
      <c r="D288" s="290">
        <f>LOOKUP(A288,'[2]Hoja1'!$F$2:$F$915,'[2]Hoja1'!$D$2:$D$915)</f>
        <v>10.9972</v>
      </c>
      <c r="E288" s="258">
        <v>3.73</v>
      </c>
      <c r="F288" s="230"/>
      <c r="G288" s="199"/>
      <c r="H288" s="1"/>
      <c r="I288" s="122" t="s">
        <v>1327</v>
      </c>
      <c r="J288" s="162" t="s">
        <v>1304</v>
      </c>
      <c r="L288" s="15">
        <v>3</v>
      </c>
      <c r="O288" s="286" t="e">
        <f>D288/#REF!</f>
        <v>#REF!</v>
      </c>
    </row>
    <row r="289" spans="1:15" ht="15">
      <c r="A289" s="185" t="s">
        <v>316</v>
      </c>
      <c r="B289" s="176" t="s">
        <v>1337</v>
      </c>
      <c r="C289" s="175" t="s">
        <v>633</v>
      </c>
      <c r="D289" s="290">
        <f>LOOKUP(A289,'[2]Hoja1'!$F$2:$F$915,'[2]Hoja1'!$D$2:$D$915)</f>
        <v>3.713</v>
      </c>
      <c r="E289" s="258">
        <v>1.49</v>
      </c>
      <c r="F289" s="233"/>
      <c r="G289" s="199"/>
      <c r="H289" s="169" t="s">
        <v>1301</v>
      </c>
      <c r="I289" s="163">
        <v>25.894</v>
      </c>
      <c r="J289" s="164">
        <f>I289/30</f>
        <v>0.8631333333333333</v>
      </c>
      <c r="K289" s="153">
        <f>J289+J290</f>
        <v>1.7964666666666667</v>
      </c>
      <c r="L289" s="15">
        <v>1</v>
      </c>
      <c r="O289" s="286" t="e">
        <f>D289/#REF!</f>
        <v>#REF!</v>
      </c>
    </row>
    <row r="290" spans="1:15" ht="15">
      <c r="A290" s="185" t="s">
        <v>439</v>
      </c>
      <c r="B290" s="176" t="s">
        <v>658</v>
      </c>
      <c r="C290" s="175" t="s">
        <v>1071</v>
      </c>
      <c r="D290" s="290">
        <f>LOOKUP(A290,'[2]Hoja1'!$F$2:$F$915,'[2]Hoja1'!$D$2:$D$915)</f>
        <v>18.4373</v>
      </c>
      <c r="E290" s="258">
        <v>7.18</v>
      </c>
      <c r="F290" s="230"/>
      <c r="G290" s="199"/>
      <c r="H290" s="1" t="s">
        <v>1302</v>
      </c>
      <c r="I290" s="165">
        <v>14</v>
      </c>
      <c r="J290" s="164">
        <f>I290/15</f>
        <v>0.9333333333333333</v>
      </c>
      <c r="K290" s="166">
        <f>K289/1.21</f>
        <v>1.4846831955922866</v>
      </c>
      <c r="L290" s="15">
        <v>3</v>
      </c>
      <c r="O290" s="286" t="e">
        <f>D290/#REF!</f>
        <v>#REF!</v>
      </c>
    </row>
    <row r="291" spans="1:15" ht="15">
      <c r="A291" s="185" t="s">
        <v>769</v>
      </c>
      <c r="B291" s="176" t="s">
        <v>537</v>
      </c>
      <c r="C291" s="175" t="s">
        <v>1071</v>
      </c>
      <c r="D291" s="290">
        <f>LOOKUP(A291,'[2]Hoja1'!$F$2:$F$915,'[2]Hoja1'!$D$2:$D$915)</f>
        <v>10.3281</v>
      </c>
      <c r="E291" s="258">
        <v>4.32</v>
      </c>
      <c r="F291" s="230"/>
      <c r="G291" s="199"/>
      <c r="H291" s="1"/>
      <c r="L291" s="15">
        <v>3</v>
      </c>
      <c r="O291" s="286" t="e">
        <f>D291/#REF!</f>
        <v>#REF!</v>
      </c>
    </row>
    <row r="292" spans="1:15" ht="15">
      <c r="A292" s="185" t="s">
        <v>770</v>
      </c>
      <c r="B292" s="176" t="s">
        <v>771</v>
      </c>
      <c r="C292" s="175" t="s">
        <v>1071</v>
      </c>
      <c r="D292" s="290">
        <f>LOOKUP(A292,'[2]Hoja1'!$F$2:$F$915,'[2]Hoja1'!$D$2:$D$915)</f>
        <v>20.8995</v>
      </c>
      <c r="E292" s="258">
        <v>9.12</v>
      </c>
      <c r="F292" s="230"/>
      <c r="G292" s="199"/>
      <c r="H292" s="1"/>
      <c r="L292" s="15">
        <v>3</v>
      </c>
      <c r="O292" s="286" t="e">
        <f>D292/#REF!</f>
        <v>#REF!</v>
      </c>
    </row>
    <row r="293" spans="1:15" ht="15">
      <c r="A293" s="185" t="s">
        <v>772</v>
      </c>
      <c r="B293" s="176" t="s">
        <v>773</v>
      </c>
      <c r="C293" s="175" t="s">
        <v>1071</v>
      </c>
      <c r="D293" s="290">
        <f>LOOKUP(A293,'[2]Hoja1'!$F$2:$F$915,'[2]Hoja1'!$D$2:$D$915)</f>
        <v>8.2865</v>
      </c>
      <c r="E293" s="258">
        <v>3.33</v>
      </c>
      <c r="F293" s="230"/>
      <c r="G293" s="199"/>
      <c r="H293" s="1"/>
      <c r="L293" s="15">
        <v>3</v>
      </c>
      <c r="O293" s="286" t="e">
        <f>D293/#REF!</f>
        <v>#REF!</v>
      </c>
    </row>
    <row r="294" spans="1:15" ht="15">
      <c r="A294" s="185" t="s">
        <v>54</v>
      </c>
      <c r="B294" s="179" t="s">
        <v>55</v>
      </c>
      <c r="C294" s="180" t="s">
        <v>882</v>
      </c>
      <c r="D294" s="290">
        <f>LOOKUP(A294,'[2]Hoja1'!$F$2:$F$915,'[2]Hoja1'!$D$2:$D$915)</f>
        <v>0.9201</v>
      </c>
      <c r="E294" s="258">
        <v>0.58</v>
      </c>
      <c r="F294" s="230"/>
      <c r="G294" s="199"/>
      <c r="H294" s="1"/>
      <c r="O294" s="286" t="e">
        <f>D294/#REF!</f>
        <v>#REF!</v>
      </c>
    </row>
    <row r="295" spans="1:15" ht="15">
      <c r="A295" s="185" t="s">
        <v>775</v>
      </c>
      <c r="B295" s="176" t="s">
        <v>883</v>
      </c>
      <c r="C295" s="175" t="s">
        <v>882</v>
      </c>
      <c r="D295" s="290">
        <f>LOOKUP(A295,'[2]Hoja1'!$F$2:$F$915,'[2]Hoja1'!$D$2:$D$915)</f>
        <v>31.157</v>
      </c>
      <c r="E295" s="258">
        <v>13.38</v>
      </c>
      <c r="F295" s="230"/>
      <c r="G295" s="199"/>
      <c r="H295" s="1" t="s">
        <v>1367</v>
      </c>
      <c r="L295" s="15">
        <v>1</v>
      </c>
      <c r="O295" s="286" t="e">
        <f>D295/#REF!</f>
        <v>#REF!</v>
      </c>
    </row>
    <row r="296" spans="1:15" ht="15">
      <c r="A296" s="185" t="s">
        <v>847</v>
      </c>
      <c r="B296" s="176" t="s">
        <v>774</v>
      </c>
      <c r="C296" s="175" t="s">
        <v>882</v>
      </c>
      <c r="D296" s="290">
        <f>LOOKUP(A296,'[2]Hoja1'!$F$2:$F$915,'[2]Hoja1'!$D$2:$D$915)</f>
        <v>32.8099</v>
      </c>
      <c r="E296" s="258">
        <v>13.88</v>
      </c>
      <c r="F296" s="230"/>
      <c r="G296" s="199"/>
      <c r="H296" s="1" t="s">
        <v>1367</v>
      </c>
      <c r="L296" s="15">
        <v>1</v>
      </c>
      <c r="O296" s="286" t="e">
        <f>D296/#REF!</f>
        <v>#REF!</v>
      </c>
    </row>
    <row r="297" spans="1:15" ht="15">
      <c r="A297" s="185" t="s">
        <v>455</v>
      </c>
      <c r="B297" s="176" t="s">
        <v>677</v>
      </c>
      <c r="C297" s="175" t="s">
        <v>882</v>
      </c>
      <c r="D297" s="290">
        <f>LOOKUP(A297,'[2]Hoja1'!$F$2:$F$915,'[2]Hoja1'!$D$2:$D$915)</f>
        <v>57.2153</v>
      </c>
      <c r="E297" s="268">
        <v>21.74</v>
      </c>
      <c r="F297" s="230"/>
      <c r="G297" s="199"/>
      <c r="H297" s="1" t="s">
        <v>1282</v>
      </c>
      <c r="L297" s="15">
        <v>2</v>
      </c>
      <c r="O297" s="286" t="e">
        <f>D297/#REF!</f>
        <v>#REF!</v>
      </c>
    </row>
    <row r="298" spans="1:15" ht="15">
      <c r="A298" s="185" t="s">
        <v>454</v>
      </c>
      <c r="B298" s="176" t="s">
        <v>678</v>
      </c>
      <c r="C298" s="175" t="s">
        <v>882</v>
      </c>
      <c r="D298" s="290">
        <f>LOOKUP(A298,'[2]Hoja1'!$F$2:$F$915,'[2]Hoja1'!$D$2:$D$915)</f>
        <v>92.5868</v>
      </c>
      <c r="E298" s="268">
        <v>34.36</v>
      </c>
      <c r="F298" s="230"/>
      <c r="G298" s="199"/>
      <c r="H298" s="1"/>
      <c r="L298" s="15">
        <v>2</v>
      </c>
      <c r="O298" s="286" t="e">
        <f>D298/#REF!</f>
        <v>#REF!</v>
      </c>
    </row>
    <row r="299" spans="1:15" ht="15">
      <c r="A299" s="185" t="s">
        <v>851</v>
      </c>
      <c r="B299" s="176" t="s">
        <v>805</v>
      </c>
      <c r="C299" s="175" t="s">
        <v>475</v>
      </c>
      <c r="D299" s="290">
        <f>LOOKUP(A299,'[2]Hoja1'!$F$2:$F$915,'[2]Hoja1'!$D$2:$D$915)</f>
        <v>2.1074</v>
      </c>
      <c r="E299" s="258">
        <v>0.83</v>
      </c>
      <c r="F299" s="230"/>
      <c r="G299" s="199"/>
      <c r="H299" s="1" t="s">
        <v>1355</v>
      </c>
      <c r="L299" s="15">
        <v>2</v>
      </c>
      <c r="O299" s="286" t="e">
        <f>D299/#REF!</f>
        <v>#REF!</v>
      </c>
    </row>
    <row r="300" spans="1:15" ht="15">
      <c r="A300" s="185" t="s">
        <v>853</v>
      </c>
      <c r="B300" s="176" t="s">
        <v>806</v>
      </c>
      <c r="C300" s="175" t="s">
        <v>475</v>
      </c>
      <c r="D300" s="290">
        <f>LOOKUP(A300,'[2]Hoja1'!$F$2:$F$915,'[2]Hoja1'!$D$2:$D$915)</f>
        <v>14.0413</v>
      </c>
      <c r="E300" s="258">
        <v>3.84</v>
      </c>
      <c r="F300" s="230"/>
      <c r="G300" s="199"/>
      <c r="H300" s="1" t="s">
        <v>1355</v>
      </c>
      <c r="L300" s="15">
        <v>1</v>
      </c>
      <c r="O300" s="286" t="e">
        <f>D300/#REF!</f>
        <v>#REF!</v>
      </c>
    </row>
    <row r="301" spans="1:15" ht="15">
      <c r="A301" s="185" t="s">
        <v>854</v>
      </c>
      <c r="B301" s="176" t="s">
        <v>807</v>
      </c>
      <c r="C301" s="175" t="s">
        <v>475</v>
      </c>
      <c r="D301" s="290">
        <f>LOOKUP(A301,'[2]Hoja1'!$F$2:$F$915,'[2]Hoja1'!$D$2:$D$915)</f>
        <v>23.5372</v>
      </c>
      <c r="E301" s="258">
        <v>5.46</v>
      </c>
      <c r="F301" s="230"/>
      <c r="G301" s="199"/>
      <c r="H301" s="1" t="s">
        <v>1355</v>
      </c>
      <c r="L301" s="15">
        <v>1</v>
      </c>
      <c r="O301" s="286" t="e">
        <f>D301/#REF!</f>
        <v>#REF!</v>
      </c>
    </row>
    <row r="302" spans="1:15" ht="15">
      <c r="A302" s="185" t="s">
        <v>855</v>
      </c>
      <c r="B302" s="176" t="s">
        <v>808</v>
      </c>
      <c r="C302" s="175" t="s">
        <v>882</v>
      </c>
      <c r="D302" s="290">
        <f>LOOKUP(A302,'[2]Hoja1'!$F$2:$F$915,'[2]Hoja1'!$D$2:$D$915)</f>
        <v>30.2066</v>
      </c>
      <c r="E302" s="258">
        <v>25.71</v>
      </c>
      <c r="F302" s="230"/>
      <c r="G302" s="199"/>
      <c r="H302" s="1" t="s">
        <v>1355</v>
      </c>
      <c r="L302" s="15">
        <v>1</v>
      </c>
      <c r="O302" s="286" t="e">
        <f>D302/#REF!</f>
        <v>#REF!</v>
      </c>
    </row>
    <row r="303" spans="1:15" ht="15">
      <c r="A303" s="185" t="s">
        <v>857</v>
      </c>
      <c r="B303" s="176" t="s">
        <v>809</v>
      </c>
      <c r="C303" s="175" t="s">
        <v>882</v>
      </c>
      <c r="D303" s="290">
        <f>LOOKUP(A303,'[2]Hoja1'!$F$2:$F$915,'[2]Hoja1'!$D$2:$D$915)</f>
        <v>55.0496</v>
      </c>
      <c r="E303" s="258">
        <v>39.01</v>
      </c>
      <c r="F303" s="230"/>
      <c r="G303" s="199"/>
      <c r="H303" s="1" t="s">
        <v>1355</v>
      </c>
      <c r="L303" s="15">
        <v>1</v>
      </c>
      <c r="O303" s="286" t="e">
        <f>D303/#REF!</f>
        <v>#REF!</v>
      </c>
    </row>
    <row r="304" spans="1:15" ht="15">
      <c r="A304" s="185" t="s">
        <v>859</v>
      </c>
      <c r="B304" s="176" t="s">
        <v>810</v>
      </c>
      <c r="C304" s="175" t="s">
        <v>882</v>
      </c>
      <c r="D304" s="290">
        <f>LOOKUP(A304,'[2]Hoja1'!$F$2:$F$915,'[2]Hoja1'!$D$2:$D$915)</f>
        <v>94.8182</v>
      </c>
      <c r="E304" s="258">
        <v>66.88</v>
      </c>
      <c r="F304" s="230"/>
      <c r="G304" s="199"/>
      <c r="H304" s="1" t="s">
        <v>1355</v>
      </c>
      <c r="O304" s="286" t="e">
        <f>D304/#REF!</f>
        <v>#REF!</v>
      </c>
    </row>
    <row r="305" spans="1:15" ht="15">
      <c r="A305" s="185" t="s">
        <v>862</v>
      </c>
      <c r="B305" s="176" t="s">
        <v>811</v>
      </c>
      <c r="C305" s="175" t="s">
        <v>882</v>
      </c>
      <c r="D305" s="290">
        <f>LOOKUP(A305,'[2]Hoja1'!$F$2:$F$915,'[2]Hoja1'!$D$2:$D$915)</f>
        <v>640.4959</v>
      </c>
      <c r="E305" s="258">
        <v>514.47</v>
      </c>
      <c r="F305" s="230"/>
      <c r="G305" s="199"/>
      <c r="H305" s="1" t="s">
        <v>1355</v>
      </c>
      <c r="L305" s="15">
        <v>1</v>
      </c>
      <c r="O305" s="286" t="e">
        <f>D305/#REF!</f>
        <v>#REF!</v>
      </c>
    </row>
    <row r="306" spans="1:15" ht="15">
      <c r="A306" s="185" t="s">
        <v>903</v>
      </c>
      <c r="B306" s="176" t="s">
        <v>812</v>
      </c>
      <c r="C306" s="175" t="s">
        <v>882</v>
      </c>
      <c r="D306" s="290">
        <f>LOOKUP(A306,'[2]Hoja1'!$F$2:$F$915,'[2]Hoja1'!$D$2:$D$915)</f>
        <v>56.4421</v>
      </c>
      <c r="E306" s="258">
        <v>17.5772</v>
      </c>
      <c r="F306" s="230"/>
      <c r="G306" s="199"/>
      <c r="H306" s="1" t="s">
        <v>1355</v>
      </c>
      <c r="L306" s="15">
        <v>2</v>
      </c>
      <c r="O306" s="286" t="e">
        <f>D306/#REF!</f>
        <v>#REF!</v>
      </c>
    </row>
    <row r="307" spans="1:15" ht="15">
      <c r="A307" s="185" t="s">
        <v>849</v>
      </c>
      <c r="B307" s="176" t="s">
        <v>804</v>
      </c>
      <c r="C307" s="175" t="s">
        <v>882</v>
      </c>
      <c r="D307" s="290">
        <f>LOOKUP(A307,'[2]Hoja1'!$F$2:$F$915,'[2]Hoja1'!$D$2:$D$915)</f>
        <v>747.9339</v>
      </c>
      <c r="E307" s="258">
        <v>361.75</v>
      </c>
      <c r="F307" s="230"/>
      <c r="G307" s="199"/>
      <c r="H307" s="1" t="s">
        <v>1355</v>
      </c>
      <c r="L307" s="15">
        <v>1</v>
      </c>
      <c r="O307" s="286" t="e">
        <f>D307/#REF!</f>
        <v>#REF!</v>
      </c>
    </row>
    <row r="308" spans="1:15" ht="15">
      <c r="A308" s="185" t="s">
        <v>904</v>
      </c>
      <c r="B308" s="176" t="s">
        <v>784</v>
      </c>
      <c r="C308" s="175" t="s">
        <v>475</v>
      </c>
      <c r="D308" s="290">
        <f>LOOKUP(A308,'[2]Hoja1'!$F$2:$F$915,'[2]Hoja1'!$D$2:$D$915)</f>
        <v>73.99</v>
      </c>
      <c r="E308" s="258">
        <v>14.49</v>
      </c>
      <c r="F308" s="230"/>
      <c r="G308" s="199"/>
      <c r="H308" s="1" t="s">
        <v>1355</v>
      </c>
      <c r="L308" s="15">
        <v>1</v>
      </c>
      <c r="O308" s="286" t="e">
        <f>D308/#REF!</f>
        <v>#REF!</v>
      </c>
    </row>
    <row r="309" spans="1:15" ht="15">
      <c r="A309" s="185" t="s">
        <v>1005</v>
      </c>
      <c r="B309" s="176" t="s">
        <v>988</v>
      </c>
      <c r="C309" s="175" t="s">
        <v>882</v>
      </c>
      <c r="D309" s="290">
        <f>LOOKUP(A309,'[2]Hoja1'!$F$2:$F$915,'[2]Hoja1'!$D$2:$D$915)</f>
        <v>1271.92</v>
      </c>
      <c r="E309" s="258">
        <v>179</v>
      </c>
      <c r="F309" s="230"/>
      <c r="G309" s="199"/>
      <c r="H309" s="1" t="s">
        <v>1283</v>
      </c>
      <c r="L309" s="15">
        <v>1</v>
      </c>
      <c r="O309" s="286" t="e">
        <f>D309/#REF!</f>
        <v>#REF!</v>
      </c>
    </row>
    <row r="310" spans="1:15" ht="15">
      <c r="A310" s="185" t="s">
        <v>1006</v>
      </c>
      <c r="B310" s="176" t="s">
        <v>1044</v>
      </c>
      <c r="C310" s="175" t="s">
        <v>882</v>
      </c>
      <c r="D310" s="290">
        <f>LOOKUP(A310,'[2]Hoja1'!$F$2:$F$915,'[2]Hoja1'!$D$2:$D$915)</f>
        <v>1243.79</v>
      </c>
      <c r="E310" s="258">
        <v>158</v>
      </c>
      <c r="F310" s="230"/>
      <c r="G310" s="199"/>
      <c r="H310" s="1"/>
      <c r="L310" s="15">
        <v>1</v>
      </c>
      <c r="O310" s="286" t="e">
        <f>D310/#REF!</f>
        <v>#REF!</v>
      </c>
    </row>
    <row r="311" spans="1:15" ht="15">
      <c r="A311" s="185" t="s">
        <v>1007</v>
      </c>
      <c r="B311" s="176" t="s">
        <v>994</v>
      </c>
      <c r="C311" s="175" t="s">
        <v>882</v>
      </c>
      <c r="D311" s="290">
        <f>LOOKUP(A311,'[2]Hoja1'!$F$2:$F$915,'[2]Hoja1'!$D$2:$D$915)</f>
        <v>6371</v>
      </c>
      <c r="E311" s="258">
        <v>1120</v>
      </c>
      <c r="F311" s="230"/>
      <c r="G311" s="199"/>
      <c r="H311" s="1"/>
      <c r="L311" s="15">
        <v>1</v>
      </c>
      <c r="O311" s="286" t="e">
        <f>D311/#REF!</f>
        <v>#REF!</v>
      </c>
    </row>
    <row r="312" spans="1:15" ht="15">
      <c r="A312" s="185" t="s">
        <v>1008</v>
      </c>
      <c r="B312" s="176" t="s">
        <v>997</v>
      </c>
      <c r="C312" s="175" t="s">
        <v>882</v>
      </c>
      <c r="D312" s="290">
        <f>LOOKUP(A312,'[2]Hoja1'!$F$2:$F$915,'[2]Hoja1'!$D$2:$D$915)</f>
        <v>5537.53</v>
      </c>
      <c r="E312" s="258">
        <v>858</v>
      </c>
      <c r="F312" s="230"/>
      <c r="G312" s="199"/>
      <c r="H312" s="1"/>
      <c r="L312" s="15">
        <v>1</v>
      </c>
      <c r="O312" s="286" t="e">
        <f>D312/#REF!</f>
        <v>#REF!</v>
      </c>
    </row>
    <row r="313" spans="1:15" ht="15" hidden="1">
      <c r="A313" s="185" t="s">
        <v>1009</v>
      </c>
      <c r="B313" s="176" t="s">
        <v>1031</v>
      </c>
      <c r="C313" s="175" t="s">
        <v>882</v>
      </c>
      <c r="D313" s="290">
        <f>LOOKUP(A313,'[2]Hoja1'!$F$2:$F$915,'[2]Hoja1'!$D$2:$D$915)</f>
        <v>0</v>
      </c>
      <c r="E313" s="258">
        <v>198</v>
      </c>
      <c r="F313" s="230"/>
      <c r="G313" s="199"/>
      <c r="H313" s="1"/>
      <c r="L313" s="15">
        <v>1</v>
      </c>
      <c r="O313" s="286" t="e">
        <f>D313/#REF!</f>
        <v>#REF!</v>
      </c>
    </row>
    <row r="314" spans="1:15" ht="15">
      <c r="A314" s="185" t="s">
        <v>1010</v>
      </c>
      <c r="B314" s="176" t="s">
        <v>989</v>
      </c>
      <c r="C314" s="175" t="s">
        <v>882</v>
      </c>
      <c r="D314" s="290">
        <f>LOOKUP(A314,'[2]Hoja1'!$F$2:$F$915,'[2]Hoja1'!$D$2:$D$915)</f>
        <v>490.91</v>
      </c>
      <c r="E314" s="258">
        <v>252</v>
      </c>
      <c r="F314" s="230"/>
      <c r="G314" s="208"/>
      <c r="H314" s="1" t="s">
        <v>1329</v>
      </c>
      <c r="K314" s="153"/>
      <c r="L314" s="15">
        <v>2</v>
      </c>
      <c r="O314" s="286" t="e">
        <f>D314/#REF!</f>
        <v>#REF!</v>
      </c>
    </row>
    <row r="315" spans="1:15" ht="15">
      <c r="A315" s="185" t="s">
        <v>1011</v>
      </c>
      <c r="B315" s="176" t="s">
        <v>990</v>
      </c>
      <c r="C315" s="175" t="s">
        <v>475</v>
      </c>
      <c r="D315" s="290">
        <f>LOOKUP(A315,'[2]Hoja1'!$F$2:$F$915,'[2]Hoja1'!$D$2:$D$915)</f>
        <v>35.15</v>
      </c>
      <c r="E315" s="258">
        <v>8.876</v>
      </c>
      <c r="F315" s="230"/>
      <c r="G315" s="208"/>
      <c r="H315" s="1"/>
      <c r="K315" s="153"/>
      <c r="L315" s="15">
        <v>2</v>
      </c>
      <c r="O315" s="286" t="e">
        <f>D315/#REF!</f>
        <v>#REF!</v>
      </c>
    </row>
    <row r="316" spans="1:15" ht="15">
      <c r="A316" s="185" t="s">
        <v>1012</v>
      </c>
      <c r="B316" s="176" t="s">
        <v>1000</v>
      </c>
      <c r="C316" s="175" t="s">
        <v>475</v>
      </c>
      <c r="D316" s="290">
        <f>LOOKUP(A316,'[2]Hoja1'!$F$2:$F$915,'[2]Hoja1'!$D$2:$D$915)</f>
        <v>11.59</v>
      </c>
      <c r="E316" s="258">
        <v>2.843</v>
      </c>
      <c r="F316" s="230"/>
      <c r="G316" s="208"/>
      <c r="H316" s="1"/>
      <c r="K316" s="153"/>
      <c r="L316" s="15">
        <v>2</v>
      </c>
      <c r="O316" s="286" t="e">
        <f>D316/#REF!</f>
        <v>#REF!</v>
      </c>
    </row>
    <row r="317" spans="1:15" ht="15">
      <c r="A317" s="185" t="s">
        <v>1029</v>
      </c>
      <c r="B317" s="176" t="s">
        <v>1030</v>
      </c>
      <c r="C317" s="175" t="s">
        <v>475</v>
      </c>
      <c r="D317" s="290">
        <f>LOOKUP(A317,'[2]Hoja1'!$F$2:$F$915,'[2]Hoja1'!$D$2:$D$915)</f>
        <v>4.37</v>
      </c>
      <c r="E317" s="258">
        <v>2.2314</v>
      </c>
      <c r="F317" s="230"/>
      <c r="G317" s="208"/>
      <c r="H317" s="1"/>
      <c r="K317" s="153"/>
      <c r="L317" s="15">
        <v>2</v>
      </c>
      <c r="O317" s="286" t="e">
        <f>D317/#REF!</f>
        <v>#REF!</v>
      </c>
    </row>
    <row r="318" spans="1:15" ht="15">
      <c r="A318" s="185" t="s">
        <v>1013</v>
      </c>
      <c r="B318" s="176" t="s">
        <v>1045</v>
      </c>
      <c r="C318" s="175" t="s">
        <v>475</v>
      </c>
      <c r="D318" s="290">
        <f>LOOKUP(A318,'[2]Hoja1'!$F$2:$F$915,'[2]Hoja1'!$D$2:$D$915)</f>
        <v>37.33</v>
      </c>
      <c r="E318" s="258">
        <v>16.4463</v>
      </c>
      <c r="F318" s="230"/>
      <c r="G318" s="208"/>
      <c r="H318" s="1"/>
      <c r="K318" s="153"/>
      <c r="L318" s="15">
        <v>2</v>
      </c>
      <c r="O318" s="286" t="e">
        <f>D318/#REF!</f>
        <v>#REF!</v>
      </c>
    </row>
    <row r="319" spans="1:15" ht="15">
      <c r="A319" s="185" t="s">
        <v>1014</v>
      </c>
      <c r="B319" s="176" t="s">
        <v>1032</v>
      </c>
      <c r="C319" s="175" t="s">
        <v>475</v>
      </c>
      <c r="D319" s="290">
        <f>LOOKUP(A319,'[2]Hoja1'!$F$2:$F$915,'[2]Hoja1'!$D$2:$D$915)</f>
        <v>14.84</v>
      </c>
      <c r="E319" s="258">
        <v>7.7521</v>
      </c>
      <c r="F319" s="230"/>
      <c r="G319" s="208"/>
      <c r="H319" s="1"/>
      <c r="K319" s="153"/>
      <c r="L319" s="15">
        <v>2</v>
      </c>
      <c r="O319" s="286" t="e">
        <f>D319/#REF!</f>
        <v>#REF!</v>
      </c>
    </row>
    <row r="320" spans="1:15" ht="15">
      <c r="A320" s="185" t="s">
        <v>1015</v>
      </c>
      <c r="B320" s="176" t="s">
        <v>1001</v>
      </c>
      <c r="C320" s="175" t="s">
        <v>882</v>
      </c>
      <c r="D320" s="290">
        <f>LOOKUP(A320,'[2]Hoja1'!$F$2:$F$915,'[2]Hoja1'!$D$2:$D$915)</f>
        <v>34.15</v>
      </c>
      <c r="E320" s="258">
        <v>8.9339</v>
      </c>
      <c r="F320" s="230"/>
      <c r="G320" s="208"/>
      <c r="H320" s="1"/>
      <c r="K320" s="153"/>
      <c r="L320" s="15">
        <v>2</v>
      </c>
      <c r="O320" s="286" t="e">
        <f>D320/#REF!</f>
        <v>#REF!</v>
      </c>
    </row>
    <row r="321" spans="1:15" ht="15">
      <c r="A321" s="185" t="s">
        <v>1016</v>
      </c>
      <c r="B321" s="176" t="s">
        <v>991</v>
      </c>
      <c r="C321" s="175" t="s">
        <v>882</v>
      </c>
      <c r="D321" s="290">
        <f>LOOKUP(A321,'[2]Hoja1'!$F$2:$F$915,'[2]Hoja1'!$D$2:$D$915)</f>
        <v>39073.4216</v>
      </c>
      <c r="E321" s="258">
        <v>10000</v>
      </c>
      <c r="F321" s="230"/>
      <c r="G321" s="199"/>
      <c r="H321" s="9" t="s">
        <v>1378</v>
      </c>
      <c r="L321" s="15">
        <v>1</v>
      </c>
      <c r="O321" s="286" t="e">
        <f>D321/#REF!</f>
        <v>#REF!</v>
      </c>
    </row>
    <row r="322" spans="1:15" ht="15">
      <c r="A322" s="185" t="s">
        <v>1017</v>
      </c>
      <c r="B322" s="176" t="s">
        <v>1004</v>
      </c>
      <c r="C322" s="175" t="s">
        <v>882</v>
      </c>
      <c r="D322" s="290">
        <f>LOOKUP(A322,'[2]Hoja1'!$F$2:$F$915,'[2]Hoja1'!$D$2:$D$915)</f>
        <v>710.75</v>
      </c>
      <c r="E322" s="258">
        <v>277.4</v>
      </c>
      <c r="F322" s="233"/>
      <c r="G322" s="199"/>
      <c r="H322" s="1" t="s">
        <v>1377</v>
      </c>
      <c r="L322" s="15">
        <v>1</v>
      </c>
      <c r="O322" s="286" t="e">
        <f>D322/#REF!</f>
        <v>#REF!</v>
      </c>
    </row>
    <row r="323" spans="1:15" ht="15">
      <c r="A323" s="185" t="s">
        <v>1018</v>
      </c>
      <c r="B323" s="176" t="s">
        <v>1033</v>
      </c>
      <c r="C323" s="175" t="s">
        <v>882</v>
      </c>
      <c r="D323" s="290">
        <f>LOOKUP(A323,'[2]Hoja1'!$F$2:$F$915,'[2]Hoja1'!$D$2:$D$915)</f>
        <v>98.626</v>
      </c>
      <c r="E323" s="258">
        <v>49.7273</v>
      </c>
      <c r="F323" s="230"/>
      <c r="G323" s="208"/>
      <c r="H323" s="1" t="s">
        <v>1341</v>
      </c>
      <c r="L323" s="15">
        <v>2</v>
      </c>
      <c r="O323" s="286" t="e">
        <f>D323/#REF!</f>
        <v>#REF!</v>
      </c>
    </row>
    <row r="324" spans="1:15" ht="15">
      <c r="A324" s="185" t="s">
        <v>1019</v>
      </c>
      <c r="B324" s="176" t="s">
        <v>995</v>
      </c>
      <c r="C324" s="175" t="s">
        <v>882</v>
      </c>
      <c r="D324" s="290">
        <f>LOOKUP(A324,'[2]Hoja1'!$F$2:$F$915,'[2]Hoja1'!$D$2:$D$915)</f>
        <v>294.27</v>
      </c>
      <c r="E324" s="258">
        <v>156.1157</v>
      </c>
      <c r="F324" s="230"/>
      <c r="G324" s="208"/>
      <c r="H324" s="1"/>
      <c r="L324" s="15">
        <v>2</v>
      </c>
      <c r="O324" s="286" t="e">
        <f>D324/#REF!</f>
        <v>#REF!</v>
      </c>
    </row>
    <row r="325" spans="1:15" ht="15">
      <c r="A325" s="185" t="s">
        <v>1020</v>
      </c>
      <c r="B325" s="176" t="s">
        <v>1034</v>
      </c>
      <c r="C325" s="175" t="s">
        <v>882</v>
      </c>
      <c r="D325" s="290">
        <f>LOOKUP(A325,'[2]Hoja1'!$F$2:$F$915,'[2]Hoja1'!$D$2:$D$915)</f>
        <v>54.3</v>
      </c>
      <c r="E325" s="258">
        <v>12.5207</v>
      </c>
      <c r="F325" s="230"/>
      <c r="G325" s="208"/>
      <c r="H325" s="1"/>
      <c r="L325" s="15">
        <v>2</v>
      </c>
      <c r="O325" s="286" t="e">
        <f>D325/#REF!</f>
        <v>#REF!</v>
      </c>
    </row>
    <row r="326" spans="1:15" ht="15" customHeight="1">
      <c r="A326" s="185" t="s">
        <v>1021</v>
      </c>
      <c r="B326" s="176" t="s">
        <v>1046</v>
      </c>
      <c r="C326" s="175" t="s">
        <v>882</v>
      </c>
      <c r="D326" s="290">
        <f>LOOKUP(A326,'[2]Hoja1'!$F$2:$F$915,'[2]Hoja1'!$D$2:$D$915)</f>
        <v>159.569</v>
      </c>
      <c r="E326" s="258">
        <v>49.2975</v>
      </c>
      <c r="F326" s="230"/>
      <c r="G326" s="208"/>
      <c r="H326" s="1"/>
      <c r="L326" s="15">
        <v>2</v>
      </c>
      <c r="O326" s="286" t="e">
        <f>D326/#REF!</f>
        <v>#REF!</v>
      </c>
    </row>
    <row r="327" spans="1:15" ht="15" customHeight="1">
      <c r="A327" s="185" t="s">
        <v>1022</v>
      </c>
      <c r="B327" s="176" t="s">
        <v>1035</v>
      </c>
      <c r="C327" s="175" t="s">
        <v>882</v>
      </c>
      <c r="D327" s="290">
        <f>LOOKUP(A327,'[2]Hoja1'!$F$2:$F$915,'[2]Hoja1'!$D$2:$D$915)</f>
        <v>809.996</v>
      </c>
      <c r="E327" s="258">
        <v>114.7521</v>
      </c>
      <c r="F327" s="230"/>
      <c r="G327" s="208"/>
      <c r="H327" s="1"/>
      <c r="L327" s="15">
        <v>2</v>
      </c>
      <c r="O327" s="286" t="e">
        <f>D327/#REF!</f>
        <v>#REF!</v>
      </c>
    </row>
    <row r="328" spans="1:15" ht="15" customHeight="1">
      <c r="A328" s="185" t="s">
        <v>1023</v>
      </c>
      <c r="B328" s="176" t="s">
        <v>1036</v>
      </c>
      <c r="C328" s="175" t="s">
        <v>882</v>
      </c>
      <c r="D328" s="290">
        <f>LOOKUP(A328,'[2]Hoja1'!$F$2:$F$915,'[2]Hoja1'!$D$2:$D$915)</f>
        <v>716.03</v>
      </c>
      <c r="E328" s="258">
        <v>156.2562</v>
      </c>
      <c r="F328" s="230"/>
      <c r="G328" s="208"/>
      <c r="H328" s="1"/>
      <c r="L328" s="15">
        <v>2</v>
      </c>
      <c r="O328" s="286" t="e">
        <f>D328/#REF!</f>
        <v>#REF!</v>
      </c>
    </row>
    <row r="329" spans="1:15" ht="15" customHeight="1">
      <c r="A329" s="185" t="s">
        <v>1024</v>
      </c>
      <c r="B329" s="176" t="s">
        <v>998</v>
      </c>
      <c r="C329" s="175" t="s">
        <v>882</v>
      </c>
      <c r="D329" s="290">
        <f>LOOKUP(A329,'[2]Hoja1'!$F$2:$F$915,'[2]Hoja1'!$D$2:$D$915)</f>
        <v>474.8</v>
      </c>
      <c r="E329" s="258">
        <v>21.3719</v>
      </c>
      <c r="F329" s="230"/>
      <c r="G329" s="208"/>
      <c r="H329" s="1"/>
      <c r="L329" s="15">
        <v>2</v>
      </c>
      <c r="O329" s="286" t="e">
        <f>D329/#REF!</f>
        <v>#REF!</v>
      </c>
    </row>
    <row r="330" spans="1:15" ht="15" customHeight="1">
      <c r="A330" s="185" t="s">
        <v>1025</v>
      </c>
      <c r="B330" s="176" t="s">
        <v>999</v>
      </c>
      <c r="C330" s="175" t="s">
        <v>882</v>
      </c>
      <c r="D330" s="290">
        <f>LOOKUP(A330,'[2]Hoja1'!$F$2:$F$915,'[2]Hoja1'!$D$2:$D$915)</f>
        <v>364.03</v>
      </c>
      <c r="E330" s="258">
        <v>9.4876</v>
      </c>
      <c r="F330" s="230"/>
      <c r="G330" s="208"/>
      <c r="H330" s="1"/>
      <c r="L330" s="15">
        <v>2</v>
      </c>
      <c r="O330" s="286" t="e">
        <f>D330/#REF!</f>
        <v>#REF!</v>
      </c>
    </row>
    <row r="331" spans="1:15" ht="15" customHeight="1" hidden="1">
      <c r="A331" s="185" t="s">
        <v>1026</v>
      </c>
      <c r="B331" s="176" t="s">
        <v>1043</v>
      </c>
      <c r="C331" s="175" t="s">
        <v>1070</v>
      </c>
      <c r="D331" s="290">
        <f>LOOKUP(A331,'[2]Hoja1'!$F$2:$F$915,'[2]Hoja1'!$D$2:$D$915)</f>
        <v>17.4</v>
      </c>
      <c r="E331" s="258">
        <v>3.39</v>
      </c>
      <c r="F331" s="230"/>
      <c r="G331" s="208"/>
      <c r="H331" s="1"/>
      <c r="L331" s="15">
        <v>2</v>
      </c>
      <c r="O331" s="286" t="e">
        <f>D331/#REF!</f>
        <v>#REF!</v>
      </c>
    </row>
    <row r="332" spans="1:15" ht="15" customHeight="1">
      <c r="A332" s="185" t="s">
        <v>900</v>
      </c>
      <c r="B332" s="176" t="s">
        <v>927</v>
      </c>
      <c r="C332" s="175" t="s">
        <v>882</v>
      </c>
      <c r="D332" s="290">
        <f>LOOKUP(A332,'[2]Hoja1'!$F$2:$F$915,'[2]Hoja1'!$D$2:$D$915)</f>
        <v>30.2066</v>
      </c>
      <c r="E332" s="258">
        <v>18.9008</v>
      </c>
      <c r="F332" s="230"/>
      <c r="G332" s="199"/>
      <c r="H332" s="1"/>
      <c r="L332" s="15">
        <v>1</v>
      </c>
      <c r="O332" s="286" t="e">
        <f>D332/#REF!</f>
        <v>#REF!</v>
      </c>
    </row>
    <row r="333" spans="1:15" ht="15" customHeight="1">
      <c r="A333" s="185" t="s">
        <v>928</v>
      </c>
      <c r="B333" s="176" t="s">
        <v>929</v>
      </c>
      <c r="C333" s="175" t="s">
        <v>882</v>
      </c>
      <c r="D333" s="290">
        <f>LOOKUP(A333,'[2]Hoja1'!$F$2:$F$915,'[2]Hoja1'!$D$2:$D$915)</f>
        <v>30.2066</v>
      </c>
      <c r="E333" s="258">
        <v>18.9008</v>
      </c>
      <c r="F333" s="230"/>
      <c r="G333" s="199"/>
      <c r="H333" s="1"/>
      <c r="L333" s="15">
        <v>1</v>
      </c>
      <c r="O333" s="286" t="e">
        <f>D333/#REF!</f>
        <v>#REF!</v>
      </c>
    </row>
    <row r="334" spans="1:15" ht="15" customHeight="1">
      <c r="A334" s="185" t="s">
        <v>848</v>
      </c>
      <c r="B334" s="176" t="s">
        <v>797</v>
      </c>
      <c r="C334" s="175" t="s">
        <v>475</v>
      </c>
      <c r="D334" s="290">
        <f>LOOKUP(A334,'[2]Hoja1'!$F$2:$F$915,'[2]Hoja1'!$D$2:$D$915)</f>
        <v>2.9504</v>
      </c>
      <c r="E334" s="258">
        <v>1.3554</v>
      </c>
      <c r="F334" s="230"/>
      <c r="G334" s="199"/>
      <c r="H334" s="1"/>
      <c r="L334" s="15">
        <v>1</v>
      </c>
      <c r="O334" s="286" t="e">
        <f>D334/#REF!</f>
        <v>#REF!</v>
      </c>
    </row>
    <row r="335" spans="1:15" ht="15" customHeight="1">
      <c r="A335" s="185" t="s">
        <v>850</v>
      </c>
      <c r="B335" s="176" t="s">
        <v>798</v>
      </c>
      <c r="C335" s="175" t="s">
        <v>475</v>
      </c>
      <c r="D335" s="290">
        <f>LOOKUP(A335,'[2]Hoja1'!$F$2:$F$915,'[2]Hoja1'!$D$2:$D$915)</f>
        <v>11.3719</v>
      </c>
      <c r="E335" s="258">
        <v>5.1322</v>
      </c>
      <c r="F335" s="230"/>
      <c r="G335" s="199"/>
      <c r="H335" s="1"/>
      <c r="L335" s="15">
        <v>1</v>
      </c>
      <c r="O335" s="286" t="e">
        <f>D335/#REF!</f>
        <v>#REF!</v>
      </c>
    </row>
    <row r="336" spans="1:15" ht="15" customHeight="1">
      <c r="A336" s="185" t="s">
        <v>852</v>
      </c>
      <c r="B336" s="176" t="s">
        <v>799</v>
      </c>
      <c r="C336" s="175" t="s">
        <v>475</v>
      </c>
      <c r="D336" s="290">
        <f>LOOKUP(A336,'[2]Hoja1'!$F$2:$F$915,'[2]Hoja1'!$D$2:$D$915)</f>
        <v>18.0083</v>
      </c>
      <c r="E336" s="258">
        <v>8.0992</v>
      </c>
      <c r="F336" s="230"/>
      <c r="G336" s="199"/>
      <c r="H336" s="1"/>
      <c r="L336" s="15">
        <v>1</v>
      </c>
      <c r="O336" s="286" t="e">
        <f>D336/#REF!</f>
        <v>#REF!</v>
      </c>
    </row>
    <row r="337" spans="1:15" ht="15" customHeight="1" hidden="1">
      <c r="A337" s="185" t="s">
        <v>856</v>
      </c>
      <c r="B337" s="176" t="s">
        <v>800</v>
      </c>
      <c r="C337" s="175" t="s">
        <v>882</v>
      </c>
      <c r="D337" s="290">
        <f>LOOKUP(A337,'[2]Hoja1'!$F$2:$F$915,'[2]Hoja1'!$D$2:$D$915)</f>
        <v>0</v>
      </c>
      <c r="E337" s="258">
        <v>91.876</v>
      </c>
      <c r="F337" s="230"/>
      <c r="G337" s="199"/>
      <c r="H337" s="1"/>
      <c r="L337" s="15">
        <v>1</v>
      </c>
      <c r="O337" s="286" t="e">
        <f>D337/#REF!</f>
        <v>#REF!</v>
      </c>
    </row>
    <row r="338" spans="1:15" ht="15" customHeight="1">
      <c r="A338" s="185" t="s">
        <v>858</v>
      </c>
      <c r="B338" s="176" t="s">
        <v>801</v>
      </c>
      <c r="C338" s="175" t="s">
        <v>882</v>
      </c>
      <c r="D338" s="290">
        <f>LOOKUP(A338,'[2]Hoja1'!$F$2:$F$915,'[2]Hoja1'!$D$2:$D$915)</f>
        <v>146.5345</v>
      </c>
      <c r="E338" s="258">
        <v>77.3967</v>
      </c>
      <c r="F338" s="230"/>
      <c r="G338" s="199"/>
      <c r="H338" s="1"/>
      <c r="L338" s="15">
        <v>1</v>
      </c>
      <c r="O338" s="286" t="e">
        <f>D338/#REF!</f>
        <v>#REF!</v>
      </c>
    </row>
    <row r="339" spans="1:15" ht="15" customHeight="1">
      <c r="A339" s="185" t="s">
        <v>860</v>
      </c>
      <c r="B339" s="176" t="s">
        <v>802</v>
      </c>
      <c r="C339" s="175" t="s">
        <v>882</v>
      </c>
      <c r="D339" s="290">
        <f>LOOKUP(A339,'[2]Hoja1'!$F$2:$F$915,'[2]Hoja1'!$D$2:$D$915)</f>
        <v>63.5702</v>
      </c>
      <c r="E339" s="258">
        <v>40.5041</v>
      </c>
      <c r="F339" s="230"/>
      <c r="G339" s="199"/>
      <c r="H339" s="1"/>
      <c r="L339" s="15">
        <v>1</v>
      </c>
      <c r="O339" s="286" t="e">
        <f>D339/#REF!</f>
        <v>#REF!</v>
      </c>
    </row>
    <row r="340" spans="1:15" ht="15" customHeight="1">
      <c r="A340" s="185" t="s">
        <v>861</v>
      </c>
      <c r="B340" s="176" t="s">
        <v>803</v>
      </c>
      <c r="C340" s="175" t="s">
        <v>882</v>
      </c>
      <c r="D340" s="290">
        <f>LOOKUP(A340,'[2]Hoja1'!$F$2:$F$915,'[2]Hoja1'!$D$2:$D$915)</f>
        <v>63.5702</v>
      </c>
      <c r="E340" s="258">
        <v>40.5041</v>
      </c>
      <c r="F340" s="230"/>
      <c r="G340" s="199"/>
      <c r="H340" s="1"/>
      <c r="L340" s="15">
        <v>1</v>
      </c>
      <c r="O340" s="286" t="e">
        <f>D340/#REF!</f>
        <v>#REF!</v>
      </c>
    </row>
    <row r="341" spans="1:15" ht="15" customHeight="1">
      <c r="A341" s="185" t="s">
        <v>575</v>
      </c>
      <c r="B341" s="176" t="s">
        <v>930</v>
      </c>
      <c r="C341" s="175" t="s">
        <v>602</v>
      </c>
      <c r="D341" s="290">
        <f>LOOKUP(A341,'[2]Hoja1'!$F$2:$F$915,'[2]Hoja1'!$D$2:$D$915)</f>
        <v>38.0165</v>
      </c>
      <c r="E341" s="258">
        <v>18.0992</v>
      </c>
      <c r="F341" s="230"/>
      <c r="G341" s="199"/>
      <c r="H341" s="1" t="s">
        <v>1399</v>
      </c>
      <c r="L341" s="15">
        <v>1</v>
      </c>
      <c r="O341" s="286" t="e">
        <f>D341/#REF!</f>
        <v>#REF!</v>
      </c>
    </row>
    <row r="342" spans="1:15" ht="15" customHeight="1" hidden="1">
      <c r="A342" s="185" t="s">
        <v>1209</v>
      </c>
      <c r="B342" s="176" t="s">
        <v>1210</v>
      </c>
      <c r="C342" s="175" t="s">
        <v>475</v>
      </c>
      <c r="D342" s="290">
        <f>LOOKUP(A342,'[2]Hoja1'!$F$2:$F$915,'[2]Hoja1'!$D$2:$D$915)</f>
        <v>0</v>
      </c>
      <c r="E342" s="258">
        <v>210.16</v>
      </c>
      <c r="F342" s="230"/>
      <c r="G342" s="201"/>
      <c r="H342" s="106" t="s">
        <v>1284</v>
      </c>
      <c r="I342" s="15">
        <v>217.486</v>
      </c>
      <c r="L342" s="15">
        <v>1</v>
      </c>
      <c r="O342" s="286" t="e">
        <f>D342/#REF!</f>
        <v>#REF!</v>
      </c>
    </row>
    <row r="343" spans="1:15" ht="15" customHeight="1" hidden="1">
      <c r="A343" s="185" t="s">
        <v>1211</v>
      </c>
      <c r="B343" s="176" t="s">
        <v>1212</v>
      </c>
      <c r="C343" s="175" t="s">
        <v>475</v>
      </c>
      <c r="D343" s="290">
        <f>LOOKUP(A343,'[2]Hoja1'!$F$2:$F$915,'[2]Hoja1'!$D$2:$D$915)</f>
        <v>0</v>
      </c>
      <c r="E343" s="258">
        <v>264.12</v>
      </c>
      <c r="F343" s="230"/>
      <c r="G343" s="199"/>
      <c r="H343" s="106" t="s">
        <v>1284</v>
      </c>
      <c r="I343" s="15">
        <v>273.327</v>
      </c>
      <c r="L343" s="15">
        <v>1</v>
      </c>
      <c r="O343" s="286" t="e">
        <f>D343/#REF!</f>
        <v>#REF!</v>
      </c>
    </row>
    <row r="344" spans="1:15" ht="15" customHeight="1" hidden="1">
      <c r="A344" s="185" t="s">
        <v>1213</v>
      </c>
      <c r="B344" s="176" t="s">
        <v>1214</v>
      </c>
      <c r="C344" s="175" t="s">
        <v>475</v>
      </c>
      <c r="D344" s="290">
        <f>LOOKUP(A344,'[2]Hoja1'!$F$2:$F$915,'[2]Hoja1'!$D$2:$D$915)</f>
        <v>0</v>
      </c>
      <c r="E344" s="258">
        <v>627.64</v>
      </c>
      <c r="F344" s="230"/>
      <c r="G344" s="201"/>
      <c r="H344" s="106" t="s">
        <v>1284</v>
      </c>
      <c r="I344" s="15">
        <v>649.519</v>
      </c>
      <c r="L344" s="15">
        <v>1</v>
      </c>
      <c r="O344" s="286" t="e">
        <f>D344/#REF!</f>
        <v>#REF!</v>
      </c>
    </row>
    <row r="345" spans="1:15" ht="15" customHeight="1" hidden="1">
      <c r="A345" s="185" t="s">
        <v>1215</v>
      </c>
      <c r="B345" s="176" t="s">
        <v>1216</v>
      </c>
      <c r="C345" s="175" t="s">
        <v>475</v>
      </c>
      <c r="D345" s="290">
        <f>LOOKUP(A345,'[2]Hoja1'!$F$2:$F$915,'[2]Hoja1'!$D$2:$D$915)</f>
        <v>0</v>
      </c>
      <c r="E345" s="258">
        <v>1056.48</v>
      </c>
      <c r="F345" s="230"/>
      <c r="G345" s="201"/>
      <c r="H345" s="106" t="s">
        <v>1284</v>
      </c>
      <c r="I345" s="15">
        <v>1093.308</v>
      </c>
      <c r="L345" s="15">
        <v>1</v>
      </c>
      <c r="O345" s="286" t="e">
        <f>D345/#REF!</f>
        <v>#REF!</v>
      </c>
    </row>
    <row r="346" spans="1:15" ht="15" hidden="1">
      <c r="A346" s="185" t="s">
        <v>1217</v>
      </c>
      <c r="B346" s="176" t="s">
        <v>1218</v>
      </c>
      <c r="C346" s="175" t="s">
        <v>475</v>
      </c>
      <c r="D346" s="290">
        <f>LOOKUP(A346,'[2]Hoja1'!$F$2:$F$915,'[2]Hoja1'!$D$2:$D$915)</f>
        <v>0</v>
      </c>
      <c r="E346" s="258">
        <v>1136</v>
      </c>
      <c r="F346" s="230"/>
      <c r="G346" s="201"/>
      <c r="H346" s="106" t="s">
        <v>1284</v>
      </c>
      <c r="I346" s="15">
        <v>1175.6</v>
      </c>
      <c r="L346" s="15">
        <v>1</v>
      </c>
      <c r="O346" s="286" t="e">
        <f>D346/#REF!</f>
        <v>#REF!</v>
      </c>
    </row>
    <row r="347" spans="1:15" ht="15">
      <c r="A347" s="185" t="s">
        <v>1219</v>
      </c>
      <c r="B347" s="176" t="s">
        <v>1220</v>
      </c>
      <c r="C347" s="175" t="s">
        <v>882</v>
      </c>
      <c r="D347" s="290">
        <f>LOOKUP(A347,'[2]Hoja1'!$F$2:$F$915,'[2]Hoja1'!$D$2:$D$915)</f>
        <v>404.2533</v>
      </c>
      <c r="E347" s="258">
        <v>195.185</v>
      </c>
      <c r="F347" s="233"/>
      <c r="G347" s="208"/>
      <c r="H347" s="106" t="s">
        <v>1285</v>
      </c>
      <c r="I347" s="15">
        <v>121.46</v>
      </c>
      <c r="L347" s="15">
        <v>1</v>
      </c>
      <c r="O347" s="286" t="e">
        <f>D347/#REF!</f>
        <v>#REF!</v>
      </c>
    </row>
    <row r="348" spans="1:15" ht="15">
      <c r="A348" s="185" t="s">
        <v>1221</v>
      </c>
      <c r="B348" s="176" t="s">
        <v>1222</v>
      </c>
      <c r="C348" s="175" t="s">
        <v>882</v>
      </c>
      <c r="D348" s="290">
        <f>LOOKUP(A348,'[2]Hoja1'!$F$2:$F$915,'[2]Hoja1'!$D$2:$D$915)</f>
        <v>530.02</v>
      </c>
      <c r="E348" s="258">
        <v>257.77</v>
      </c>
      <c r="F348" s="233"/>
      <c r="G348" s="208"/>
      <c r="H348" s="106" t="s">
        <v>1285</v>
      </c>
      <c r="I348" s="15">
        <v>163.9</v>
      </c>
      <c r="L348" s="15">
        <v>1</v>
      </c>
      <c r="O348" s="286" t="e">
        <f>D348/#REF!</f>
        <v>#REF!</v>
      </c>
    </row>
    <row r="349" spans="1:15" ht="15">
      <c r="A349" s="185" t="s">
        <v>1223</v>
      </c>
      <c r="B349" s="176" t="s">
        <v>1224</v>
      </c>
      <c r="C349" s="175" t="s">
        <v>882</v>
      </c>
      <c r="D349" s="290">
        <f>LOOKUP(A349,'[2]Hoja1'!$F$2:$F$915,'[2]Hoja1'!$D$2:$D$915)</f>
        <v>652.7267</v>
      </c>
      <c r="E349" s="258">
        <v>312.575</v>
      </c>
      <c r="F349" s="233"/>
      <c r="G349" s="208"/>
      <c r="H349" s="106" t="s">
        <v>1285</v>
      </c>
      <c r="I349" s="15">
        <v>208.48</v>
      </c>
      <c r="L349" s="15">
        <v>1</v>
      </c>
      <c r="O349" s="286" t="e">
        <f>D349/#REF!</f>
        <v>#REF!</v>
      </c>
    </row>
    <row r="350" spans="1:15" ht="15">
      <c r="A350" s="185" t="s">
        <v>1225</v>
      </c>
      <c r="B350" s="176" t="s">
        <v>1226</v>
      </c>
      <c r="C350" s="175" t="s">
        <v>882</v>
      </c>
      <c r="D350" s="290">
        <f>LOOKUP(A350,'[2]Hoja1'!$F$2:$F$915,'[2]Hoja1'!$D$2:$D$915)</f>
        <v>284.3567</v>
      </c>
      <c r="E350" s="258">
        <v>163.94</v>
      </c>
      <c r="F350" s="233"/>
      <c r="G350" s="208"/>
      <c r="H350" s="106" t="s">
        <v>1285</v>
      </c>
      <c r="I350" s="15">
        <v>132.63</v>
      </c>
      <c r="L350" s="15">
        <v>1</v>
      </c>
      <c r="O350" s="286" t="e">
        <f>D350/#REF!</f>
        <v>#REF!</v>
      </c>
    </row>
    <row r="351" spans="1:15" ht="15">
      <c r="A351" s="185" t="s">
        <v>1227</v>
      </c>
      <c r="B351" s="176" t="s">
        <v>1228</v>
      </c>
      <c r="C351" s="175" t="s">
        <v>602</v>
      </c>
      <c r="D351" s="290">
        <f>LOOKUP(A351,'[2]Hoja1'!$F$2:$F$915,'[2]Hoja1'!$D$2:$D$915)</f>
        <v>3.7292</v>
      </c>
      <c r="E351" s="258">
        <v>1.823</v>
      </c>
      <c r="F351" s="230"/>
      <c r="G351" s="201"/>
      <c r="H351" s="106" t="s">
        <v>1285</v>
      </c>
      <c r="I351" s="15">
        <v>1.91035</v>
      </c>
      <c r="L351" s="15">
        <v>1</v>
      </c>
      <c r="O351" s="286" t="e">
        <f>D351/#REF!</f>
        <v>#REF!</v>
      </c>
    </row>
    <row r="352" spans="1:15" ht="15">
      <c r="A352" s="185" t="s">
        <v>1229</v>
      </c>
      <c r="B352" s="176" t="s">
        <v>1230</v>
      </c>
      <c r="C352" s="175" t="s">
        <v>882</v>
      </c>
      <c r="D352" s="290">
        <f>LOOKUP(A352,'[2]Hoja1'!$F$2:$F$915,'[2]Hoja1'!$D$2:$D$915)</f>
        <v>690.8384</v>
      </c>
      <c r="E352" s="258">
        <v>35.39</v>
      </c>
      <c r="F352" s="230"/>
      <c r="G352" s="201"/>
      <c r="H352" s="106" t="s">
        <v>1286</v>
      </c>
      <c r="I352" s="15">
        <v>36.6256482939633</v>
      </c>
      <c r="L352" s="15">
        <v>1</v>
      </c>
      <c r="O352" s="286" t="e">
        <f>D352/#REF!</f>
        <v>#REF!</v>
      </c>
    </row>
    <row r="353" spans="1:15" ht="15">
      <c r="A353" s="185" t="s">
        <v>1231</v>
      </c>
      <c r="B353" s="176" t="s">
        <v>1232</v>
      </c>
      <c r="C353" s="175" t="s">
        <v>882</v>
      </c>
      <c r="D353" s="290">
        <f>LOOKUP(A353,'[2]Hoja1'!$F$2:$F$915,'[2]Hoja1'!$D$2:$D$915)</f>
        <v>138.7845</v>
      </c>
      <c r="E353" s="258">
        <v>50.1</v>
      </c>
      <c r="F353" s="230"/>
      <c r="G353" s="201"/>
      <c r="H353" s="106" t="s">
        <v>1286</v>
      </c>
      <c r="I353" s="15">
        <v>51.84396</v>
      </c>
      <c r="L353" s="15">
        <v>1</v>
      </c>
      <c r="O353" s="286" t="e">
        <f>D353/#REF!</f>
        <v>#REF!</v>
      </c>
    </row>
    <row r="354" spans="1:15" ht="15" hidden="1">
      <c r="A354" s="185" t="s">
        <v>1233</v>
      </c>
      <c r="B354" s="176" t="s">
        <v>1234</v>
      </c>
      <c r="C354" s="175" t="s">
        <v>882</v>
      </c>
      <c r="D354" s="290">
        <f>LOOKUP(A354,'[2]Hoja1'!$F$2:$F$915,'[2]Hoja1'!$D$2:$D$915)</f>
        <v>0</v>
      </c>
      <c r="E354" s="258">
        <v>110.76</v>
      </c>
      <c r="F354" s="230"/>
      <c r="G354" s="201"/>
      <c r="H354" s="106" t="s">
        <v>1286</v>
      </c>
      <c r="I354" s="15">
        <v>114.621</v>
      </c>
      <c r="L354" s="15">
        <v>1</v>
      </c>
      <c r="O354" s="286" t="e">
        <f>D354/#REF!</f>
        <v>#REF!</v>
      </c>
    </row>
    <row r="355" spans="1:15" ht="15" hidden="1">
      <c r="A355" s="185" t="s">
        <v>1235</v>
      </c>
      <c r="B355" s="176" t="s">
        <v>1236</v>
      </c>
      <c r="C355" s="175" t="s">
        <v>882</v>
      </c>
      <c r="D355" s="290">
        <f>LOOKUP(A355,'[2]Hoja1'!$F$2:$F$915,'[2]Hoja1'!$D$2:$D$915)</f>
        <v>114.1117</v>
      </c>
      <c r="E355" s="258">
        <v>53.96</v>
      </c>
      <c r="F355" s="230"/>
      <c r="G355" s="201"/>
      <c r="H355" s="106" t="s">
        <v>1286</v>
      </c>
      <c r="I355" s="15">
        <v>55.841</v>
      </c>
      <c r="L355" s="15">
        <v>1</v>
      </c>
      <c r="O355" s="286" t="e">
        <f>D355/#REF!</f>
        <v>#REF!</v>
      </c>
    </row>
    <row r="356" spans="1:15" ht="15">
      <c r="A356" s="185" t="s">
        <v>1237</v>
      </c>
      <c r="B356" s="335" t="s">
        <v>202</v>
      </c>
      <c r="C356" s="175" t="s">
        <v>1120</v>
      </c>
      <c r="D356" s="290">
        <f>LOOKUP(A356,'[2]Hoja1'!$F$2:$F$915,'[2]Hoja1'!$D$2:$D$915)</f>
        <v>1992.7765</v>
      </c>
      <c r="E356" s="258">
        <v>785.8</v>
      </c>
      <c r="F356" s="230"/>
      <c r="G356" s="213"/>
      <c r="H356" s="9" t="s">
        <v>1403</v>
      </c>
      <c r="L356" s="15">
        <v>1</v>
      </c>
      <c r="O356" s="286" t="e">
        <f>D356/#REF!</f>
        <v>#REF!</v>
      </c>
    </row>
    <row r="357" spans="1:15" ht="15">
      <c r="A357" s="185" t="s">
        <v>1238</v>
      </c>
      <c r="B357" s="335" t="s">
        <v>203</v>
      </c>
      <c r="C357" s="175" t="s">
        <v>1120</v>
      </c>
      <c r="D357" s="290">
        <f>LOOKUP(A357,'[2]Hoja1'!$F$2:$F$915,'[2]Hoja1'!$D$2:$D$915)</f>
        <v>1846.67</v>
      </c>
      <c r="E357" s="258">
        <v>775.8</v>
      </c>
      <c r="F357" s="230"/>
      <c r="G357" s="213"/>
      <c r="H357" s="9" t="s">
        <v>1404</v>
      </c>
      <c r="L357" s="15">
        <v>1</v>
      </c>
      <c r="O357" s="286" t="e">
        <f>D357/#REF!</f>
        <v>#REF!</v>
      </c>
    </row>
    <row r="358" spans="1:15" ht="15">
      <c r="A358" s="185" t="s">
        <v>1239</v>
      </c>
      <c r="B358" s="176" t="s">
        <v>1240</v>
      </c>
      <c r="C358" s="175" t="s">
        <v>1120</v>
      </c>
      <c r="D358" s="290">
        <f>LOOKUP(A358,'[2]Hoja1'!$F$2:$F$915,'[2]Hoja1'!$D$2:$D$915)</f>
        <v>2526.36</v>
      </c>
      <c r="E358" s="258">
        <v>825.8</v>
      </c>
      <c r="F358" s="230"/>
      <c r="G358" s="213"/>
      <c r="H358" s="9" t="s">
        <v>1405</v>
      </c>
      <c r="L358" s="15">
        <v>1</v>
      </c>
      <c r="O358" s="286" t="e">
        <f>D358/#REF!</f>
        <v>#REF!</v>
      </c>
    </row>
    <row r="359" spans="1:15" ht="15">
      <c r="A359" s="185" t="s">
        <v>1241</v>
      </c>
      <c r="B359" s="176" t="s">
        <v>1242</v>
      </c>
      <c r="C359" s="175" t="s">
        <v>1120</v>
      </c>
      <c r="D359" s="290">
        <f>LOOKUP(A359,'[2]Hoja1'!$F$2:$F$915,'[2]Hoja1'!$D$2:$D$915)</f>
        <v>2068.9752</v>
      </c>
      <c r="E359" s="258">
        <v>695.8</v>
      </c>
      <c r="F359" s="230"/>
      <c r="G359" s="213"/>
      <c r="H359" s="9" t="s">
        <v>1406</v>
      </c>
      <c r="L359" s="15">
        <v>1</v>
      </c>
      <c r="O359" s="286" t="e">
        <f>D359/#REF!</f>
        <v>#REF!</v>
      </c>
    </row>
    <row r="360" spans="1:15" ht="15">
      <c r="A360" s="185" t="s">
        <v>1243</v>
      </c>
      <c r="B360" s="176" t="s">
        <v>1244</v>
      </c>
      <c r="C360" s="175" t="s">
        <v>1127</v>
      </c>
      <c r="D360" s="290">
        <f>LOOKUP(A360,'[2]Hoja1'!$F$2:$F$915,'[2]Hoja1'!$D$2:$D$915)</f>
        <v>2050</v>
      </c>
      <c r="E360" s="258">
        <v>482.8</v>
      </c>
      <c r="F360" s="230"/>
      <c r="G360" s="201"/>
      <c r="H360" s="106" t="s">
        <v>1287</v>
      </c>
      <c r="I360" s="15">
        <v>499.63</v>
      </c>
      <c r="L360" s="15">
        <v>1</v>
      </c>
      <c r="O360" s="286" t="e">
        <f>D360/#REF!</f>
        <v>#REF!</v>
      </c>
    </row>
    <row r="361" spans="1:15" ht="15">
      <c r="A361" s="185" t="s">
        <v>1245</v>
      </c>
      <c r="B361" s="176" t="s">
        <v>1246</v>
      </c>
      <c r="C361" s="175" t="s">
        <v>1247</v>
      </c>
      <c r="D361" s="290">
        <f>LOOKUP(A361,'[2]Hoja1'!$F$2:$F$915,'[2]Hoja1'!$D$2:$D$915)</f>
        <v>0.09</v>
      </c>
      <c r="E361" s="258">
        <v>0.043</v>
      </c>
      <c r="F361" s="230"/>
      <c r="G361" s="201"/>
      <c r="H361" s="106" t="s">
        <v>1287</v>
      </c>
      <c r="I361" s="15">
        <v>0.044085</v>
      </c>
      <c r="L361" s="15">
        <v>1</v>
      </c>
      <c r="O361" s="286" t="e">
        <f>D361/#REF!</f>
        <v>#REF!</v>
      </c>
    </row>
    <row r="362" spans="1:15" ht="15">
      <c r="A362" s="185" t="s">
        <v>1248</v>
      </c>
      <c r="B362" s="176" t="s">
        <v>1338</v>
      </c>
      <c r="C362" s="175" t="s">
        <v>602</v>
      </c>
      <c r="D362" s="290">
        <f>LOOKUP(A362,'[2]Hoja1'!$F$2:$F$915,'[2]Hoja1'!$D$2:$D$915)</f>
        <v>74.3802</v>
      </c>
      <c r="E362" s="258">
        <v>29</v>
      </c>
      <c r="F362" s="230"/>
      <c r="G362" s="188"/>
      <c r="H362" s="106" t="s">
        <v>1288</v>
      </c>
      <c r="L362" s="15">
        <v>1</v>
      </c>
      <c r="O362" s="286" t="e">
        <f>D362/#REF!</f>
        <v>#REF!</v>
      </c>
    </row>
    <row r="363" spans="1:15" ht="15">
      <c r="A363" s="185" t="s">
        <v>1249</v>
      </c>
      <c r="B363" s="335" t="s">
        <v>204</v>
      </c>
      <c r="C363" s="175" t="s">
        <v>1120</v>
      </c>
      <c r="D363" s="290">
        <f>LOOKUP(A363,'[2]Hoja1'!$F$2:$F$915,'[2]Hoja1'!$D$2:$D$915)</f>
        <v>2884.2733</v>
      </c>
      <c r="E363" s="258">
        <v>799.4</v>
      </c>
      <c r="F363" s="230"/>
      <c r="G363" s="214"/>
      <c r="H363" s="106" t="s">
        <v>1346</v>
      </c>
      <c r="L363" s="15">
        <v>1</v>
      </c>
      <c r="O363" s="286" t="e">
        <f>D363/#REF!</f>
        <v>#REF!</v>
      </c>
    </row>
    <row r="364" spans="1:15" ht="15">
      <c r="A364" s="185" t="s">
        <v>1250</v>
      </c>
      <c r="B364" s="176" t="s">
        <v>1251</v>
      </c>
      <c r="C364" s="175" t="s">
        <v>882</v>
      </c>
      <c r="D364" s="290">
        <f>LOOKUP(A364,'[2]Hoja1'!$F$2:$F$915,'[2]Hoja1'!$D$2:$D$915)</f>
        <v>82000</v>
      </c>
      <c r="E364" s="258">
        <v>21500</v>
      </c>
      <c r="F364" s="230"/>
      <c r="G364" s="188"/>
      <c r="H364" s="106" t="s">
        <v>1289</v>
      </c>
      <c r="L364" s="15">
        <v>1</v>
      </c>
      <c r="O364" s="286" t="e">
        <f>D364/#REF!</f>
        <v>#REF!</v>
      </c>
    </row>
    <row r="365" spans="1:15" ht="15">
      <c r="A365" s="185" t="s">
        <v>1252</v>
      </c>
      <c r="B365" s="176" t="s">
        <v>1253</v>
      </c>
      <c r="C365" s="175" t="s">
        <v>882</v>
      </c>
      <c r="D365" s="290">
        <f>LOOKUP(A365,'[2]Hoja1'!$F$2:$F$915,'[2]Hoja1'!$D$2:$D$915)</f>
        <v>13322.314</v>
      </c>
      <c r="E365" s="258">
        <v>3175</v>
      </c>
      <c r="F365" s="230"/>
      <c r="G365" s="188"/>
      <c r="H365" s="106" t="s">
        <v>1289</v>
      </c>
      <c r="K365" s="15">
        <f>K366/1.21</f>
        <v>20753.25</v>
      </c>
      <c r="L365" s="15">
        <v>1</v>
      </c>
      <c r="O365" s="286" t="e">
        <f>D365/#REF!</f>
        <v>#REF!</v>
      </c>
    </row>
    <row r="366" spans="1:15" ht="15">
      <c r="A366" s="185" t="s">
        <v>1254</v>
      </c>
      <c r="B366" s="176" t="s">
        <v>1255</v>
      </c>
      <c r="C366" s="175" t="s">
        <v>602</v>
      </c>
      <c r="D366" s="290">
        <f>LOOKUP(A366,'[2]Hoja1'!$F$2:$F$915,'[2]Hoja1'!$D$2:$D$915)</f>
        <v>1454.5455</v>
      </c>
      <c r="E366" s="258">
        <v>360</v>
      </c>
      <c r="F366" s="230"/>
      <c r="G366" s="188"/>
      <c r="H366" s="106" t="s">
        <v>1289</v>
      </c>
      <c r="J366" s="167" t="s">
        <v>1348</v>
      </c>
      <c r="K366" s="15">
        <f>K367*E194</f>
        <v>25111.4325</v>
      </c>
      <c r="L366" s="15">
        <v>1</v>
      </c>
      <c r="O366" s="286" t="e">
        <f>D366/#REF!</f>
        <v>#REF!</v>
      </c>
    </row>
    <row r="367" spans="1:15" ht="15" hidden="1">
      <c r="A367" s="185" t="s">
        <v>1256</v>
      </c>
      <c r="B367" s="176" t="s">
        <v>1257</v>
      </c>
      <c r="C367" s="175" t="s">
        <v>1070</v>
      </c>
      <c r="D367" s="290">
        <f>LOOKUP(A367,'[2]Hoja1'!$F$2:$F$915,'[2]Hoja1'!$D$2:$D$915)</f>
        <v>67141.4667</v>
      </c>
      <c r="E367" s="258">
        <v>22000</v>
      </c>
      <c r="F367" s="230"/>
      <c r="G367" s="201"/>
      <c r="H367" s="106" t="s">
        <v>1290</v>
      </c>
      <c r="I367" s="108"/>
      <c r="K367" s="15">
        <f>45.98+54.45+93.17+1300.75+895.4+240.79+114.95+114.95+1143.45+(33.88*12)+26.62+78.65+119.79+54.45+592.9+(18.15*6)+118.58+114.95+237.16+774.4+1875.5</f>
        <v>8512.349999999999</v>
      </c>
      <c r="L367" s="15">
        <v>24</v>
      </c>
      <c r="O367" s="286" t="e">
        <f>D367/#REF!</f>
        <v>#REF!</v>
      </c>
    </row>
    <row r="368" spans="1:15" ht="15">
      <c r="A368" s="185" t="s">
        <v>1258</v>
      </c>
      <c r="B368" s="176" t="s">
        <v>1259</v>
      </c>
      <c r="C368" s="175" t="s">
        <v>652</v>
      </c>
      <c r="D368" s="290">
        <f>LOOKUP(A368,'[2]Hoja1'!$F$2:$F$915,'[2]Hoja1'!$D$2:$D$915)</f>
        <v>64.8359</v>
      </c>
      <c r="E368" s="258">
        <v>21.2767</v>
      </c>
      <c r="F368" s="230"/>
      <c r="G368" s="188"/>
      <c r="H368" s="106" t="s">
        <v>1291</v>
      </c>
      <c r="I368" s="143">
        <v>25725.46363</v>
      </c>
      <c r="K368" s="168">
        <f>180+200+450+3300+3200+650+300+500+4000+(75*12)+80+250+450+200+2000+(60*6)+300+350+750+2200+6000</f>
        <v>26620</v>
      </c>
      <c r="L368" s="15">
        <v>1</v>
      </c>
      <c r="O368" s="286" t="e">
        <f>D368/#REF!</f>
        <v>#REF!</v>
      </c>
    </row>
    <row r="369" spans="1:16" ht="15.75">
      <c r="A369" s="185" t="s">
        <v>1260</v>
      </c>
      <c r="B369" s="176" t="s">
        <v>1261</v>
      </c>
      <c r="C369" s="175" t="s">
        <v>652</v>
      </c>
      <c r="D369" s="290">
        <f>LOOKUP(A369,'[2]Hoja1'!$F$2:$F$915,'[2]Hoja1'!$D$2:$D$915)</f>
        <v>213.07</v>
      </c>
      <c r="E369" s="258">
        <v>40</v>
      </c>
      <c r="F369" s="230"/>
      <c r="G369" s="188"/>
      <c r="H369" s="106" t="s">
        <v>1291</v>
      </c>
      <c r="K369" s="168">
        <f>147.62+174.24+296.45+3932.5+968+2722.5+943+774.4+367.84+496.1+4235+5929+(90.75*12)+84.7+242+387.2+193.6+2420+(72.6)+393.25+605+914.76+2154.75+6231.5</f>
        <v>35775.009999999995</v>
      </c>
      <c r="L369" s="15">
        <v>1</v>
      </c>
      <c r="O369" s="286" t="e">
        <f>D369/#REF!</f>
        <v>#REF!</v>
      </c>
      <c r="P369" s="101"/>
    </row>
    <row r="370" spans="1:16" ht="15.75">
      <c r="A370" s="185" t="s">
        <v>130</v>
      </c>
      <c r="B370" s="176" t="s">
        <v>1261</v>
      </c>
      <c r="C370" s="175" t="s">
        <v>652</v>
      </c>
      <c r="D370" s="290">
        <f>LOOKUP(A370,'[2]Hoja1'!$F$2:$F$915,'[2]Hoja1'!$D$2:$D$915)</f>
        <v>106.635</v>
      </c>
      <c r="E370" s="258"/>
      <c r="F370" s="230"/>
      <c r="G370" s="188"/>
      <c r="H370" s="106"/>
      <c r="K370" s="168"/>
      <c r="O370" s="286"/>
      <c r="P370" s="101"/>
    </row>
    <row r="371" spans="1:15" ht="15">
      <c r="A371" s="185" t="s">
        <v>1339</v>
      </c>
      <c r="B371" s="176" t="s">
        <v>1340</v>
      </c>
      <c r="C371" s="175" t="s">
        <v>633</v>
      </c>
      <c r="D371" s="290">
        <f>LOOKUP(A371,'[2]Hoja1'!$F$2:$F$915,'[2]Hoja1'!$D$2:$D$915)</f>
        <v>9.2562</v>
      </c>
      <c r="E371" s="258">
        <v>4.5</v>
      </c>
      <c r="F371" s="230"/>
      <c r="G371" s="188"/>
      <c r="H371" s="106" t="s">
        <v>1289</v>
      </c>
      <c r="K371" s="168"/>
      <c r="O371" s="286" t="e">
        <f>D371/#REF!</f>
        <v>#REF!</v>
      </c>
    </row>
    <row r="372" spans="1:15" ht="15">
      <c r="A372" s="185" t="s">
        <v>778</v>
      </c>
      <c r="B372" s="176" t="s">
        <v>779</v>
      </c>
      <c r="C372" s="175" t="s">
        <v>882</v>
      </c>
      <c r="D372" s="290">
        <f>LOOKUP(A372,'[2]Hoja1'!$F$2:$F$915,'[2]Hoja1'!$D$2:$D$915)</f>
        <v>30.1794</v>
      </c>
      <c r="E372" s="258">
        <v>9.9741</v>
      </c>
      <c r="F372" s="230"/>
      <c r="G372" s="188"/>
      <c r="H372" s="1" t="s">
        <v>1365</v>
      </c>
      <c r="K372" s="15">
        <f>K369/1.21</f>
        <v>29566.123966942145</v>
      </c>
      <c r="L372" s="15">
        <v>2</v>
      </c>
      <c r="O372" s="286" t="e">
        <f>D372/#REF!</f>
        <v>#REF!</v>
      </c>
    </row>
    <row r="373" spans="1:15" ht="15">
      <c r="A373" s="185" t="s">
        <v>780</v>
      </c>
      <c r="B373" s="176" t="s">
        <v>781</v>
      </c>
      <c r="C373" s="175" t="s">
        <v>882</v>
      </c>
      <c r="D373" s="290">
        <f>LOOKUP(A373,'[2]Hoja1'!$F$2:$F$915,'[2]Hoja1'!$D$2:$D$915)</f>
        <v>26.0962</v>
      </c>
      <c r="E373" s="258">
        <v>8.2142</v>
      </c>
      <c r="F373" s="230"/>
      <c r="G373" s="199"/>
      <c r="H373" s="1"/>
      <c r="L373" s="15">
        <v>2</v>
      </c>
      <c r="O373" s="286" t="e">
        <f>D373/#REF!</f>
        <v>#REF!</v>
      </c>
    </row>
    <row r="374" spans="1:15" ht="15">
      <c r="A374" s="185" t="s">
        <v>329</v>
      </c>
      <c r="B374" s="176" t="s">
        <v>782</v>
      </c>
      <c r="C374" s="175" t="s">
        <v>882</v>
      </c>
      <c r="D374" s="290">
        <f>LOOKUP(A374,'[2]Hoja1'!$F$2:$F$915,'[2]Hoja1'!$D$2:$D$915)</f>
        <v>72.5217</v>
      </c>
      <c r="E374" s="258">
        <v>43.11</v>
      </c>
      <c r="F374" s="230"/>
      <c r="G374" s="199"/>
      <c r="H374" s="1"/>
      <c r="L374" s="15">
        <v>1</v>
      </c>
      <c r="O374" s="286" t="e">
        <f>D374/#REF!</f>
        <v>#REF!</v>
      </c>
    </row>
    <row r="375" spans="1:15" ht="15">
      <c r="A375" s="185" t="s">
        <v>327</v>
      </c>
      <c r="B375" s="176" t="s">
        <v>783</v>
      </c>
      <c r="C375" s="175" t="s">
        <v>882</v>
      </c>
      <c r="D375" s="290">
        <f>LOOKUP(A375,'[2]Hoja1'!$F$2:$F$915,'[2]Hoja1'!$D$2:$D$915)</f>
        <v>129.4636</v>
      </c>
      <c r="E375" s="258">
        <v>38.36</v>
      </c>
      <c r="F375" s="230"/>
      <c r="G375" s="199"/>
      <c r="H375" s="1" t="s">
        <v>1292</v>
      </c>
      <c r="L375" s="15">
        <v>1</v>
      </c>
      <c r="O375" s="286" t="e">
        <f>D375/#REF!</f>
        <v>#REF!</v>
      </c>
    </row>
    <row r="376" spans="1:15" ht="15">
      <c r="A376" s="185" t="s">
        <v>643</v>
      </c>
      <c r="B376" s="176" t="s">
        <v>644</v>
      </c>
      <c r="C376" s="175" t="s">
        <v>882</v>
      </c>
      <c r="D376" s="290">
        <f>LOOKUP(A376,'[2]Hoja1'!$F$2:$F$915,'[2]Hoja1'!$D$2:$D$915)</f>
        <v>162.02</v>
      </c>
      <c r="E376" s="258">
        <v>50.8</v>
      </c>
      <c r="F376" s="230"/>
      <c r="G376" s="199"/>
      <c r="H376" s="1" t="s">
        <v>1292</v>
      </c>
      <c r="L376" s="15">
        <v>1</v>
      </c>
      <c r="O376" s="286" t="e">
        <f>D376/#REF!</f>
        <v>#REF!</v>
      </c>
    </row>
    <row r="377" spans="1:15" ht="15">
      <c r="A377" s="185" t="s">
        <v>67</v>
      </c>
      <c r="B377" s="177" t="s">
        <v>68</v>
      </c>
      <c r="C377" s="178" t="s">
        <v>882</v>
      </c>
      <c r="D377" s="290">
        <f>LOOKUP(A377,'[2]Hoja1'!$F$2:$F$915,'[2]Hoja1'!$D$2:$D$915)</f>
        <v>16.4846</v>
      </c>
      <c r="E377" s="258">
        <v>8.17</v>
      </c>
      <c r="F377" s="234"/>
      <c r="G377" s="199"/>
      <c r="H377" s="1"/>
      <c r="O377" s="286" t="e">
        <f>D377/#REF!</f>
        <v>#REF!</v>
      </c>
    </row>
    <row r="378" spans="1:15" ht="15">
      <c r="A378" s="185" t="s">
        <v>323</v>
      </c>
      <c r="B378" s="176" t="s">
        <v>659</v>
      </c>
      <c r="C378" s="175" t="s">
        <v>475</v>
      </c>
      <c r="D378" s="290">
        <f>LOOKUP(A378,'[2]Hoja1'!$F$2:$F$915,'[2]Hoja1'!$D$2:$D$915)</f>
        <v>8.5524</v>
      </c>
      <c r="E378" s="258">
        <v>4.24</v>
      </c>
      <c r="F378" s="230"/>
      <c r="G378" s="199"/>
      <c r="H378" s="1" t="s">
        <v>1364</v>
      </c>
      <c r="L378" s="15">
        <v>2</v>
      </c>
      <c r="O378" s="286" t="e">
        <f>D378/#REF!</f>
        <v>#REF!</v>
      </c>
    </row>
    <row r="379" spans="1:15" ht="15">
      <c r="A379" s="185" t="s">
        <v>553</v>
      </c>
      <c r="B379" s="176" t="s">
        <v>640</v>
      </c>
      <c r="C379" s="175" t="s">
        <v>475</v>
      </c>
      <c r="D379" s="290">
        <f>LOOKUP(A379,'[2]Hoja1'!$F$2:$F$915,'[2]Hoja1'!$D$2:$D$915)</f>
        <v>22.1857</v>
      </c>
      <c r="E379" s="258">
        <v>5.9076</v>
      </c>
      <c r="F379" s="230"/>
      <c r="G379" s="199"/>
      <c r="H379" s="1"/>
      <c r="L379" s="15">
        <v>2</v>
      </c>
      <c r="O379" s="286" t="e">
        <f>D379/#REF!</f>
        <v>#REF!</v>
      </c>
    </row>
    <row r="380" spans="1:15" ht="15">
      <c r="A380" s="185" t="s">
        <v>330</v>
      </c>
      <c r="B380" s="176" t="s">
        <v>639</v>
      </c>
      <c r="C380" s="175" t="s">
        <v>475</v>
      </c>
      <c r="D380" s="290">
        <f>LOOKUP(A380,'[2]Hoja1'!$F$2:$F$915,'[2]Hoja1'!$D$2:$D$915)</f>
        <v>26.0432</v>
      </c>
      <c r="E380" s="258">
        <v>6.8149</v>
      </c>
      <c r="F380" s="230"/>
      <c r="G380" s="199"/>
      <c r="H380" s="1" t="s">
        <v>1293</v>
      </c>
      <c r="L380" s="15">
        <v>2</v>
      </c>
      <c r="O380" s="286" t="e">
        <f>D380/#REF!</f>
        <v>#REF!</v>
      </c>
    </row>
    <row r="381" spans="1:15" ht="15">
      <c r="A381" s="185" t="s">
        <v>322</v>
      </c>
      <c r="B381" s="176" t="s">
        <v>667</v>
      </c>
      <c r="C381" s="175" t="s">
        <v>882</v>
      </c>
      <c r="D381" s="290">
        <f>LOOKUP(A381,'[2]Hoja1'!$F$2:$F$915,'[2]Hoja1'!$D$2:$D$915)</f>
        <v>1.2562</v>
      </c>
      <c r="E381" s="271">
        <v>0.63</v>
      </c>
      <c r="F381" s="230"/>
      <c r="G381" s="199"/>
      <c r="H381" s="1"/>
      <c r="L381" s="15">
        <v>2</v>
      </c>
      <c r="O381" s="286" t="e">
        <f>D381/#REF!</f>
        <v>#REF!</v>
      </c>
    </row>
    <row r="382" spans="1:15" ht="15">
      <c r="A382" s="185" t="s">
        <v>469</v>
      </c>
      <c r="B382" s="176" t="s">
        <v>665</v>
      </c>
      <c r="C382" s="175" t="s">
        <v>882</v>
      </c>
      <c r="D382" s="290">
        <f>LOOKUP(A382,'[2]Hoja1'!$F$2:$F$915,'[2]Hoja1'!$D$2:$D$915)</f>
        <v>2.9463</v>
      </c>
      <c r="E382" s="271">
        <v>0.89</v>
      </c>
      <c r="F382" s="230"/>
      <c r="G382" s="199"/>
      <c r="H382" s="1"/>
      <c r="L382" s="15">
        <v>2</v>
      </c>
      <c r="O382" s="286" t="e">
        <f>D382/#REF!</f>
        <v>#REF!</v>
      </c>
    </row>
    <row r="383" spans="1:15" ht="15">
      <c r="A383" s="185" t="s">
        <v>776</v>
      </c>
      <c r="B383" s="176" t="s">
        <v>777</v>
      </c>
      <c r="C383" s="175" t="s">
        <v>882</v>
      </c>
      <c r="D383" s="290">
        <f>LOOKUP(A383,'[2]Hoja1'!$F$2:$F$915,'[2]Hoja1'!$D$2:$D$915)</f>
        <v>48.8043</v>
      </c>
      <c r="E383" s="258">
        <v>11.28</v>
      </c>
      <c r="F383" s="230"/>
      <c r="G383" s="199"/>
      <c r="H383" s="1"/>
      <c r="L383" s="15">
        <v>2</v>
      </c>
      <c r="O383" s="286" t="e">
        <f>D383/#REF!</f>
        <v>#REF!</v>
      </c>
    </row>
    <row r="384" spans="1:15" ht="15">
      <c r="A384" s="185" t="s">
        <v>641</v>
      </c>
      <c r="B384" s="176" t="s">
        <v>642</v>
      </c>
      <c r="C384" s="175" t="s">
        <v>882</v>
      </c>
      <c r="D384" s="290">
        <f>LOOKUP(A384,'[2]Hoja1'!$F$2:$F$915,'[2]Hoja1'!$D$2:$D$915)</f>
        <v>21.5041</v>
      </c>
      <c r="E384" s="258">
        <v>10.75</v>
      </c>
      <c r="F384" s="230"/>
      <c r="G384" s="199"/>
      <c r="H384" s="1"/>
      <c r="L384" s="15">
        <v>1</v>
      </c>
      <c r="O384" s="286" t="e">
        <f>D384/#REF!</f>
        <v>#REF!</v>
      </c>
    </row>
    <row r="385" spans="1:15" ht="15">
      <c r="A385" s="185" t="s">
        <v>71</v>
      </c>
      <c r="B385" s="177" t="s">
        <v>73</v>
      </c>
      <c r="C385" s="178" t="s">
        <v>882</v>
      </c>
      <c r="D385" s="290">
        <f>LOOKUP(A385,'[2]Hoja1'!$F$2:$F$915,'[2]Hoja1'!$D$2:$D$915)</f>
        <v>0.5</v>
      </c>
      <c r="E385" s="258">
        <v>0.2755</v>
      </c>
      <c r="F385" s="235"/>
      <c r="G385" s="199"/>
      <c r="H385" s="1"/>
      <c r="O385" s="286" t="e">
        <f>D385/#REF!</f>
        <v>#REF!</v>
      </c>
    </row>
    <row r="386" spans="1:15" ht="15">
      <c r="A386" s="185" t="s">
        <v>72</v>
      </c>
      <c r="B386" s="293" t="s">
        <v>74</v>
      </c>
      <c r="C386" s="178" t="s">
        <v>882</v>
      </c>
      <c r="D386" s="290">
        <f>LOOKUP(A386,'[2]Hoja1'!$F$2:$F$915,'[2]Hoja1'!$D$2:$D$915)</f>
        <v>0.5454</v>
      </c>
      <c r="E386" s="258">
        <v>0.2937</v>
      </c>
      <c r="F386" s="236"/>
      <c r="G386" s="199"/>
      <c r="H386" s="1"/>
      <c r="O386" s="286" t="e">
        <f>D386/#REF!</f>
        <v>#REF!</v>
      </c>
    </row>
    <row r="387" spans="1:15" ht="15">
      <c r="A387" s="185" t="s">
        <v>440</v>
      </c>
      <c r="B387" s="176" t="s">
        <v>660</v>
      </c>
      <c r="C387" s="175" t="s">
        <v>882</v>
      </c>
      <c r="D387" s="290">
        <f>LOOKUP(A387,'[2]Hoja1'!$F$2:$F$915,'[2]Hoja1'!$D$2:$D$915)</f>
        <v>1.6942</v>
      </c>
      <c r="E387" s="258">
        <v>0.88</v>
      </c>
      <c r="F387" s="236"/>
      <c r="G387" s="199"/>
      <c r="H387" s="1"/>
      <c r="L387" s="15">
        <v>2</v>
      </c>
      <c r="O387" s="286" t="e">
        <f>D387/#REF!</f>
        <v>#REF!</v>
      </c>
    </row>
    <row r="388" spans="1:15" ht="15">
      <c r="A388" s="185" t="s">
        <v>441</v>
      </c>
      <c r="B388" s="176" t="s">
        <v>661</v>
      </c>
      <c r="C388" s="175" t="s">
        <v>882</v>
      </c>
      <c r="D388" s="290">
        <f>LOOKUP(A388,'[2]Hoja1'!$F$2:$F$915,'[2]Hoja1'!$D$2:$D$915)</f>
        <v>127.2727</v>
      </c>
      <c r="E388" s="258">
        <v>47.7585</v>
      </c>
      <c r="F388" s="230"/>
      <c r="G388" s="199"/>
      <c r="H388" s="1"/>
      <c r="L388" s="15">
        <v>2</v>
      </c>
      <c r="O388" s="286" t="e">
        <f>D388/#REF!</f>
        <v>#REF!</v>
      </c>
    </row>
    <row r="389" spans="1:15" ht="15">
      <c r="A389" s="185" t="s">
        <v>442</v>
      </c>
      <c r="B389" s="176" t="s">
        <v>662</v>
      </c>
      <c r="C389" s="175" t="s">
        <v>882</v>
      </c>
      <c r="D389" s="290">
        <f>LOOKUP(A389,'[2]Hoja1'!$F$2:$F$915,'[2]Hoja1'!$D$2:$D$915)</f>
        <v>60.849</v>
      </c>
      <c r="E389" s="258">
        <v>24.7108</v>
      </c>
      <c r="F389" s="233"/>
      <c r="G389" s="199"/>
      <c r="H389" s="15" t="s">
        <v>1370</v>
      </c>
      <c r="L389" s="15">
        <v>3</v>
      </c>
      <c r="O389" s="286" t="e">
        <f>D389/#REF!</f>
        <v>#REF!</v>
      </c>
    </row>
    <row r="390" spans="1:15" ht="15">
      <c r="A390" s="185" t="s">
        <v>443</v>
      </c>
      <c r="B390" s="176" t="s">
        <v>663</v>
      </c>
      <c r="C390" s="175" t="s">
        <v>475</v>
      </c>
      <c r="D390" s="290">
        <f>LOOKUP(A390,'[2]Hoja1'!$F$2:$F$915,'[2]Hoja1'!$D$2:$D$915)</f>
        <v>12.5524</v>
      </c>
      <c r="E390" s="258">
        <v>5.841</v>
      </c>
      <c r="F390" s="233"/>
      <c r="G390" s="199"/>
      <c r="H390" s="1"/>
      <c r="L390" s="15">
        <v>2</v>
      </c>
      <c r="O390" s="286" t="e">
        <f>D390/#REF!</f>
        <v>#REF!</v>
      </c>
    </row>
    <row r="391" spans="1:15" ht="15">
      <c r="A391" s="185" t="s">
        <v>87</v>
      </c>
      <c r="B391" s="176" t="s">
        <v>88</v>
      </c>
      <c r="C391" s="175" t="s">
        <v>882</v>
      </c>
      <c r="D391" s="290">
        <f>LOOKUP(A391,'[2]Hoja1'!$F$2:$F$915,'[2]Hoja1'!$D$2:$D$915)</f>
        <v>12.4793</v>
      </c>
      <c r="E391" s="258">
        <v>6.71</v>
      </c>
      <c r="F391" s="233"/>
      <c r="G391" s="199"/>
      <c r="H391" s="1"/>
      <c r="O391" s="286" t="e">
        <f>D391/#REF!</f>
        <v>#REF!</v>
      </c>
    </row>
    <row r="392" spans="1:15" ht="15">
      <c r="A392" s="185" t="s">
        <v>863</v>
      </c>
      <c r="B392" s="176" t="s">
        <v>785</v>
      </c>
      <c r="C392" s="175" t="s">
        <v>882</v>
      </c>
      <c r="D392" s="290">
        <f>LOOKUP(A392,'[2]Hoja1'!$F$2:$F$915,'[2]Hoja1'!$D$2:$D$915)</f>
        <v>177.781</v>
      </c>
      <c r="E392" s="258">
        <v>89.85</v>
      </c>
      <c r="F392" s="233"/>
      <c r="G392" s="199"/>
      <c r="H392" s="1"/>
      <c r="L392" s="15">
        <v>2</v>
      </c>
      <c r="O392" s="286" t="e">
        <f>D392/#REF!</f>
        <v>#REF!</v>
      </c>
    </row>
    <row r="393" spans="1:15" ht="15">
      <c r="A393" s="185" t="s">
        <v>326</v>
      </c>
      <c r="B393" s="176" t="s">
        <v>647</v>
      </c>
      <c r="C393" s="175" t="s">
        <v>882</v>
      </c>
      <c r="D393" s="290">
        <f>LOOKUP(A393,'[2]Hoja1'!$F$2:$F$915,'[2]Hoja1'!$D$2:$D$915)</f>
        <v>294.54</v>
      </c>
      <c r="E393" s="258">
        <v>91.46</v>
      </c>
      <c r="F393" s="233"/>
      <c r="G393" s="215"/>
      <c r="H393" s="1" t="s">
        <v>1292</v>
      </c>
      <c r="L393" s="15">
        <v>1</v>
      </c>
      <c r="O393" s="286" t="e">
        <f>D393/#REF!</f>
        <v>#REF!</v>
      </c>
    </row>
    <row r="394" spans="1:15" ht="15">
      <c r="A394" s="185" t="s">
        <v>324</v>
      </c>
      <c r="B394" s="176" t="s">
        <v>645</v>
      </c>
      <c r="C394" s="175" t="s">
        <v>882</v>
      </c>
      <c r="D394" s="290">
        <f>LOOKUP(A394,'[2]Hoja1'!$F$2:$F$915,'[2]Hoja1'!$D$2:$D$915)</f>
        <v>32.6364</v>
      </c>
      <c r="E394" s="271">
        <v>7.24</v>
      </c>
      <c r="F394" s="233"/>
      <c r="G394" s="199"/>
      <c r="H394" s="1"/>
      <c r="L394" s="15">
        <v>2</v>
      </c>
      <c r="O394" s="286" t="e">
        <f>D394/#REF!</f>
        <v>#REF!</v>
      </c>
    </row>
    <row r="395" spans="1:15" ht="15">
      <c r="A395" s="185" t="s">
        <v>459</v>
      </c>
      <c r="B395" s="176" t="s">
        <v>646</v>
      </c>
      <c r="C395" s="175" t="s">
        <v>882</v>
      </c>
      <c r="D395" s="290">
        <f>LOOKUP(A395,'[2]Hoja1'!$F$2:$F$915,'[2]Hoja1'!$D$2:$D$915)</f>
        <v>21.4711</v>
      </c>
      <c r="E395" s="271">
        <v>7.81</v>
      </c>
      <c r="F395" s="233"/>
      <c r="G395" s="199"/>
      <c r="H395" s="1"/>
      <c r="L395" s="15">
        <v>2</v>
      </c>
      <c r="O395" s="286" t="e">
        <f>D395/#REF!</f>
        <v>#REF!</v>
      </c>
    </row>
    <row r="396" spans="1:15" ht="15">
      <c r="A396" s="185" t="s">
        <v>69</v>
      </c>
      <c r="B396" s="177" t="s">
        <v>70</v>
      </c>
      <c r="C396" s="178" t="s">
        <v>882</v>
      </c>
      <c r="D396" s="290">
        <f>LOOKUP(A396,'[2]Hoja1'!$F$2:$F$915,'[2]Hoja1'!$D$2:$D$915)</f>
        <v>20.6364</v>
      </c>
      <c r="E396" s="271">
        <v>7.58</v>
      </c>
      <c r="F396" s="230"/>
      <c r="G396" s="199"/>
      <c r="H396" s="1"/>
      <c r="O396" s="286" t="e">
        <f>D396/#REF!</f>
        <v>#REF!</v>
      </c>
    </row>
    <row r="397" spans="1:15" ht="15">
      <c r="A397" s="185" t="s">
        <v>85</v>
      </c>
      <c r="B397" s="177" t="s">
        <v>86</v>
      </c>
      <c r="C397" s="178" t="s">
        <v>882</v>
      </c>
      <c r="D397" s="290">
        <f>LOOKUP(A397,'[2]Hoja1'!$F$2:$F$915,'[2]Hoja1'!$D$2:$D$915)</f>
        <v>47.83</v>
      </c>
      <c r="E397" s="271">
        <v>15.07</v>
      </c>
      <c r="F397" s="230"/>
      <c r="G397" s="199"/>
      <c r="H397" s="1"/>
      <c r="O397" s="286" t="e">
        <f>D397/#REF!</f>
        <v>#REF!</v>
      </c>
    </row>
    <row r="398" spans="1:15" ht="15" hidden="1">
      <c r="A398" s="185" t="s">
        <v>433</v>
      </c>
      <c r="B398" s="177" t="s">
        <v>104</v>
      </c>
      <c r="C398" s="178" t="s">
        <v>882</v>
      </c>
      <c r="D398" s="290">
        <f>LOOKUP(A398,'[2]Hoja1'!$F$2:$F$915,'[2]Hoja1'!$D$2:$D$915)</f>
        <v>0</v>
      </c>
      <c r="E398" s="271"/>
      <c r="F398" s="230"/>
      <c r="G398" s="199"/>
      <c r="H398" s="1"/>
      <c r="O398" s="286" t="e">
        <f>D398/#REF!</f>
        <v>#REF!</v>
      </c>
    </row>
    <row r="399" spans="1:15" ht="15">
      <c r="A399" s="185" t="s">
        <v>328</v>
      </c>
      <c r="B399" s="176" t="s">
        <v>637</v>
      </c>
      <c r="C399" s="175" t="s">
        <v>602</v>
      </c>
      <c r="D399" s="290">
        <f>LOOKUP(A399,'[2]Hoja1'!$F$2:$F$915,'[2]Hoja1'!$D$2:$D$915)</f>
        <v>218.9669</v>
      </c>
      <c r="E399" s="271">
        <v>110.68</v>
      </c>
      <c r="F399" s="233"/>
      <c r="G399" s="199"/>
      <c r="H399" s="1" t="s">
        <v>1294</v>
      </c>
      <c r="L399" s="15">
        <v>2</v>
      </c>
      <c r="O399" s="286" t="e">
        <f>D399/#REF!</f>
        <v>#REF!</v>
      </c>
    </row>
    <row r="400" spans="1:15" ht="15">
      <c r="A400" s="185" t="s">
        <v>1110</v>
      </c>
      <c r="B400" s="176" t="s">
        <v>1111</v>
      </c>
      <c r="C400" s="175" t="s">
        <v>602</v>
      </c>
      <c r="D400" s="290">
        <f>LOOKUP(A400,'[2]Hoja1'!$F$2:$F$915,'[2]Hoja1'!$D$2:$D$915)</f>
        <v>462.8099</v>
      </c>
      <c r="E400" s="271">
        <v>194.21</v>
      </c>
      <c r="F400" s="230"/>
      <c r="G400" s="199"/>
      <c r="H400" s="1" t="s">
        <v>1294</v>
      </c>
      <c r="L400" s="15">
        <v>1</v>
      </c>
      <c r="O400" s="286" t="e">
        <f>D400/#REF!</f>
        <v>#REF!</v>
      </c>
    </row>
    <row r="401" spans="1:15" ht="15">
      <c r="A401" s="185" t="s">
        <v>554</v>
      </c>
      <c r="B401" s="176" t="s">
        <v>786</v>
      </c>
      <c r="C401" s="175" t="s">
        <v>882</v>
      </c>
      <c r="D401" s="290">
        <f>LOOKUP(A401,'[2]Hoja1'!$F$2:$F$915,'[2]Hoja1'!$D$2:$D$915)</f>
        <v>20.6691</v>
      </c>
      <c r="E401" s="271">
        <v>6.96</v>
      </c>
      <c r="F401" s="230"/>
      <c r="G401" s="199"/>
      <c r="H401" s="1"/>
      <c r="L401" s="15">
        <v>2</v>
      </c>
      <c r="O401" s="286" t="e">
        <f>D401/#REF!</f>
        <v>#REF!</v>
      </c>
    </row>
    <row r="402" spans="1:15" ht="15">
      <c r="A402" s="185" t="s">
        <v>444</v>
      </c>
      <c r="B402" s="176" t="s">
        <v>664</v>
      </c>
      <c r="C402" s="175" t="s">
        <v>882</v>
      </c>
      <c r="D402" s="290">
        <f>LOOKUP(A402,'[2]Hoja1'!$F$2:$F$915,'[2]Hoja1'!$D$2:$D$915)</f>
        <v>29.3678</v>
      </c>
      <c r="E402" s="271">
        <v>11.8342</v>
      </c>
      <c r="F402" s="230"/>
      <c r="G402" s="199"/>
      <c r="H402" s="1"/>
      <c r="L402" s="15">
        <v>2</v>
      </c>
      <c r="O402" s="286" t="e">
        <f>D402/#REF!</f>
        <v>#REF!</v>
      </c>
    </row>
    <row r="403" spans="1:15" ht="15">
      <c r="A403" s="185" t="s">
        <v>0</v>
      </c>
      <c r="B403" s="177" t="s">
        <v>26</v>
      </c>
      <c r="C403" s="178" t="s">
        <v>882</v>
      </c>
      <c r="D403" s="290">
        <f>LOOKUP(A403,'[2]Hoja1'!$F$2:$F$915,'[2]Hoja1'!$D$2:$D$915)</f>
        <v>3.0992</v>
      </c>
      <c r="E403" s="271">
        <v>0.95</v>
      </c>
      <c r="F403" s="230"/>
      <c r="G403" s="199"/>
      <c r="H403" s="1"/>
      <c r="O403" s="286" t="e">
        <f>D403/#REF!</f>
        <v>#REF!</v>
      </c>
    </row>
    <row r="404" spans="1:15" ht="15">
      <c r="A404" s="185" t="s">
        <v>1</v>
      </c>
      <c r="B404" s="177" t="s">
        <v>27</v>
      </c>
      <c r="C404" s="178" t="s">
        <v>882</v>
      </c>
      <c r="D404" s="290">
        <f>LOOKUP(A404,'[2]Hoja1'!$F$2:$F$915,'[2]Hoja1'!$D$2:$D$915)</f>
        <v>4.1322</v>
      </c>
      <c r="E404" s="271">
        <v>1.28</v>
      </c>
      <c r="F404" s="230"/>
      <c r="G404" s="199"/>
      <c r="H404" s="1"/>
      <c r="O404" s="286" t="e">
        <f>D404/#REF!</f>
        <v>#REF!</v>
      </c>
    </row>
    <row r="405" spans="1:15" ht="15">
      <c r="A405" s="185" t="s">
        <v>2</v>
      </c>
      <c r="B405" s="177" t="s">
        <v>28</v>
      </c>
      <c r="C405" s="178" t="s">
        <v>882</v>
      </c>
      <c r="D405" s="290">
        <f>LOOKUP(A405,'[2]Hoja1'!$F$2:$F$915,'[2]Hoja1'!$D$2:$D$915)</f>
        <v>2.1157</v>
      </c>
      <c r="E405" s="271">
        <v>0.7</v>
      </c>
      <c r="F405" s="230"/>
      <c r="G405" s="199"/>
      <c r="H405" s="1"/>
      <c r="O405" s="286" t="e">
        <f>D405/#REF!</f>
        <v>#REF!</v>
      </c>
    </row>
    <row r="406" spans="1:15" ht="15">
      <c r="A406" s="185" t="s">
        <v>3</v>
      </c>
      <c r="B406" s="177" t="s">
        <v>29</v>
      </c>
      <c r="C406" s="178" t="s">
        <v>882</v>
      </c>
      <c r="D406" s="290">
        <f>LOOKUP(A406,'[2]Hoja1'!$F$2:$F$915,'[2]Hoja1'!$D$2:$D$915)</f>
        <v>3.2231</v>
      </c>
      <c r="E406" s="271">
        <v>1.13</v>
      </c>
      <c r="F406" s="230"/>
      <c r="G406" s="199"/>
      <c r="H406" s="1"/>
      <c r="O406" s="286" t="e">
        <f>D406/#REF!</f>
        <v>#REF!</v>
      </c>
    </row>
    <row r="407" spans="1:15" ht="15">
      <c r="A407" s="185" t="s">
        <v>4</v>
      </c>
      <c r="B407" s="177" t="s">
        <v>30</v>
      </c>
      <c r="C407" s="178" t="s">
        <v>882</v>
      </c>
      <c r="D407" s="290">
        <f>LOOKUP(A407,'[2]Hoja1'!$F$2:$F$915,'[2]Hoja1'!$D$2:$D$915)</f>
        <v>1.8595</v>
      </c>
      <c r="E407" s="271">
        <v>0.51</v>
      </c>
      <c r="F407" s="230"/>
      <c r="G407" s="199"/>
      <c r="H407" s="1"/>
      <c r="O407" s="286" t="e">
        <f>D407/#REF!</f>
        <v>#REF!</v>
      </c>
    </row>
    <row r="408" spans="1:15" ht="15" hidden="1">
      <c r="A408" s="209" t="s">
        <v>5</v>
      </c>
      <c r="B408" s="177" t="s">
        <v>31</v>
      </c>
      <c r="C408" s="178" t="s">
        <v>882</v>
      </c>
      <c r="D408" s="290">
        <f>LOOKUP(A408,'[2]Hoja1'!$F$2:$F$915,'[2]Hoja1'!$D$2:$D$915)</f>
        <v>1.8595</v>
      </c>
      <c r="E408" s="260">
        <f>E385</f>
        <v>0.2755</v>
      </c>
      <c r="F408" s="230"/>
      <c r="G408" s="199"/>
      <c r="H408" s="1"/>
      <c r="O408" s="286" t="e">
        <f>D408/#REF!</f>
        <v>#REF!</v>
      </c>
    </row>
    <row r="409" spans="1:15" ht="15" hidden="1">
      <c r="A409" s="209" t="s">
        <v>6</v>
      </c>
      <c r="B409" s="177" t="s">
        <v>32</v>
      </c>
      <c r="C409" s="178" t="s">
        <v>882</v>
      </c>
      <c r="D409" s="290">
        <f>LOOKUP(A409,'[2]Hoja1'!$F$2:$F$915,'[2]Hoja1'!$D$2:$D$915)</f>
        <v>1.8595</v>
      </c>
      <c r="E409" s="260">
        <f>E386</f>
        <v>0.2937</v>
      </c>
      <c r="F409" s="230"/>
      <c r="G409" s="199"/>
      <c r="H409" s="1"/>
      <c r="O409" s="286" t="e">
        <f>D409/#REF!</f>
        <v>#REF!</v>
      </c>
    </row>
    <row r="410" spans="1:15" ht="15">
      <c r="A410" s="185" t="s">
        <v>7</v>
      </c>
      <c r="B410" s="177" t="s">
        <v>33</v>
      </c>
      <c r="C410" s="178" t="s">
        <v>882</v>
      </c>
      <c r="D410" s="290">
        <f>LOOKUP(A410,'[2]Hoja1'!$F$2:$F$915,'[2]Hoja1'!$D$2:$D$915)</f>
        <v>0.876</v>
      </c>
      <c r="E410" s="271">
        <v>0.43</v>
      </c>
      <c r="F410" s="230"/>
      <c r="G410" s="199"/>
      <c r="H410" s="1"/>
      <c r="O410" s="286" t="e">
        <f>D410/#REF!</f>
        <v>#REF!</v>
      </c>
    </row>
    <row r="411" spans="1:15" ht="15">
      <c r="A411" s="185" t="s">
        <v>8</v>
      </c>
      <c r="B411" s="177" t="s">
        <v>34</v>
      </c>
      <c r="C411" s="178" t="s">
        <v>882</v>
      </c>
      <c r="D411" s="290">
        <f>LOOKUP(A411,'[2]Hoja1'!$F$2:$F$915,'[2]Hoja1'!$D$2:$D$915)</f>
        <v>1.157</v>
      </c>
      <c r="E411" s="271">
        <v>0.57</v>
      </c>
      <c r="F411" s="230"/>
      <c r="G411" s="199"/>
      <c r="H411" s="1"/>
      <c r="O411" s="286" t="e">
        <f>D411/#REF!</f>
        <v>#REF!</v>
      </c>
    </row>
    <row r="412" spans="1:15" ht="15">
      <c r="A412" s="185" t="s">
        <v>9</v>
      </c>
      <c r="B412" s="177" t="s">
        <v>35</v>
      </c>
      <c r="C412" s="178" t="s">
        <v>882</v>
      </c>
      <c r="D412" s="290">
        <f>LOOKUP(A412,'[2]Hoja1'!$F$2:$F$915,'[2]Hoja1'!$D$2:$D$915)</f>
        <v>2.7521</v>
      </c>
      <c r="E412" s="271">
        <v>1.34</v>
      </c>
      <c r="F412" s="230"/>
      <c r="G412" s="199"/>
      <c r="H412" s="1"/>
      <c r="O412" s="286" t="e">
        <f>D412/#REF!</f>
        <v>#REF!</v>
      </c>
    </row>
    <row r="413" spans="1:15" ht="15">
      <c r="A413" s="185" t="s">
        <v>10</v>
      </c>
      <c r="B413" s="177" t="s">
        <v>36</v>
      </c>
      <c r="C413" s="178" t="s">
        <v>882</v>
      </c>
      <c r="D413" s="290">
        <f>LOOKUP(A413,'[2]Hoja1'!$F$2:$F$915,'[2]Hoja1'!$D$2:$D$915)</f>
        <v>3.5041</v>
      </c>
      <c r="E413" s="271">
        <v>1.7</v>
      </c>
      <c r="F413" s="230"/>
      <c r="G413" s="199"/>
      <c r="H413" s="1"/>
      <c r="O413" s="286" t="e">
        <f>D413/#REF!</f>
        <v>#REF!</v>
      </c>
    </row>
    <row r="414" spans="1:15" ht="15" hidden="1">
      <c r="A414" s="185" t="s">
        <v>11</v>
      </c>
      <c r="B414" s="177" t="s">
        <v>37</v>
      </c>
      <c r="C414" s="178" t="s">
        <v>882</v>
      </c>
      <c r="D414" s="290">
        <f>LOOKUP(A414,'[2]Hoja1'!$F$2:$F$915,'[2]Hoja1'!$D$2:$D$915)</f>
        <v>3.5041</v>
      </c>
      <c r="E414" s="260">
        <f>E397</f>
        <v>15.07</v>
      </c>
      <c r="F414" s="230"/>
      <c r="G414" s="199"/>
      <c r="H414" s="1"/>
      <c r="O414" s="286" t="e">
        <f>D414/#REF!</f>
        <v>#REF!</v>
      </c>
    </row>
    <row r="415" spans="1:15" ht="15">
      <c r="A415" s="185" t="s">
        <v>12</v>
      </c>
      <c r="B415" s="177" t="s">
        <v>38</v>
      </c>
      <c r="C415" s="178" t="s">
        <v>882</v>
      </c>
      <c r="D415" s="290">
        <f>LOOKUP(A415,'[2]Hoja1'!$F$2:$F$915,'[2]Hoja1'!$D$2:$D$915)</f>
        <v>0.4959</v>
      </c>
      <c r="E415" s="271">
        <v>0.23</v>
      </c>
      <c r="F415" s="230"/>
      <c r="G415" s="199"/>
      <c r="H415" s="1"/>
      <c r="O415" s="286" t="e">
        <f>D415/#REF!</f>
        <v>#REF!</v>
      </c>
    </row>
    <row r="416" spans="1:15" ht="15">
      <c r="A416" s="185" t="s">
        <v>13</v>
      </c>
      <c r="B416" s="177" t="s">
        <v>39</v>
      </c>
      <c r="C416" s="178" t="s">
        <v>882</v>
      </c>
      <c r="D416" s="290">
        <f>LOOKUP(A416,'[2]Hoja1'!$F$2:$F$915,'[2]Hoja1'!$D$2:$D$915)</f>
        <v>0.6777</v>
      </c>
      <c r="E416" s="271">
        <v>0.34</v>
      </c>
      <c r="F416" s="230"/>
      <c r="G416" s="199"/>
      <c r="H416" s="1"/>
      <c r="O416" s="286" t="e">
        <f>D416/#REF!</f>
        <v>#REF!</v>
      </c>
    </row>
    <row r="417" spans="1:15" ht="15">
      <c r="A417" s="185" t="s">
        <v>14</v>
      </c>
      <c r="B417" s="177" t="s">
        <v>40</v>
      </c>
      <c r="C417" s="178" t="s">
        <v>882</v>
      </c>
      <c r="D417" s="290">
        <f>LOOKUP(A417,'[2]Hoja1'!$F$2:$F$915,'[2]Hoja1'!$D$2:$D$915)</f>
        <v>10.562</v>
      </c>
      <c r="E417" s="271">
        <v>4.63</v>
      </c>
      <c r="F417" s="230"/>
      <c r="G417" s="199"/>
      <c r="H417" s="1"/>
      <c r="O417" s="286" t="e">
        <f>D417/#REF!</f>
        <v>#REF!</v>
      </c>
    </row>
    <row r="418" spans="1:15" ht="15">
      <c r="A418" s="185" t="s">
        <v>15</v>
      </c>
      <c r="B418" s="177" t="s">
        <v>41</v>
      </c>
      <c r="C418" s="178" t="s">
        <v>882</v>
      </c>
      <c r="D418" s="290">
        <f>LOOKUP(A418,'[2]Hoja1'!$F$2:$F$915,'[2]Hoja1'!$D$2:$D$915)</f>
        <v>2.314</v>
      </c>
      <c r="E418" s="271">
        <v>1.14</v>
      </c>
      <c r="F418" s="230"/>
      <c r="G418" s="199"/>
      <c r="H418" s="1"/>
      <c r="O418" s="286" t="e">
        <f>D418/#REF!</f>
        <v>#REF!</v>
      </c>
    </row>
    <row r="419" spans="1:15" ht="15">
      <c r="A419" s="185" t="s">
        <v>16</v>
      </c>
      <c r="B419" s="177" t="s">
        <v>42</v>
      </c>
      <c r="C419" s="178" t="s">
        <v>882</v>
      </c>
      <c r="D419" s="290">
        <f>LOOKUP(A419,'[2]Hoja1'!$F$2:$F$915,'[2]Hoja1'!$D$2:$D$915)</f>
        <v>3.8017</v>
      </c>
      <c r="E419" s="271">
        <v>1.82</v>
      </c>
      <c r="F419" s="230"/>
      <c r="G419" s="199"/>
      <c r="H419" s="1"/>
      <c r="O419" s="286" t="e">
        <f>D419/#REF!</f>
        <v>#REF!</v>
      </c>
    </row>
    <row r="420" spans="1:15" ht="15">
      <c r="A420" s="185" t="s">
        <v>17</v>
      </c>
      <c r="B420" s="177" t="s">
        <v>43</v>
      </c>
      <c r="C420" s="178" t="s">
        <v>882</v>
      </c>
      <c r="D420" s="290">
        <f>LOOKUP(A420,'[2]Hoja1'!$F$2:$F$915,'[2]Hoja1'!$D$2:$D$915)</f>
        <v>4.2066</v>
      </c>
      <c r="E420" s="271">
        <v>2.04</v>
      </c>
      <c r="F420" s="230"/>
      <c r="G420" s="199"/>
      <c r="H420" s="1"/>
      <c r="O420" s="286" t="e">
        <f>D420/#REF!</f>
        <v>#REF!</v>
      </c>
    </row>
    <row r="421" spans="1:15" ht="15">
      <c r="A421" s="185" t="s">
        <v>18</v>
      </c>
      <c r="B421" s="177" t="s">
        <v>44</v>
      </c>
      <c r="C421" s="178" t="s">
        <v>882</v>
      </c>
      <c r="D421" s="290">
        <f>LOOKUP(A421,'[2]Hoja1'!$F$2:$F$915,'[2]Hoja1'!$D$2:$D$915)</f>
        <v>1.1322</v>
      </c>
      <c r="E421" s="271">
        <v>0.55</v>
      </c>
      <c r="F421" s="230"/>
      <c r="G421" s="199"/>
      <c r="H421" s="1"/>
      <c r="O421" s="286" t="e">
        <f>D421/#REF!</f>
        <v>#REF!</v>
      </c>
    </row>
    <row r="422" spans="1:15" ht="15">
      <c r="A422" s="185" t="s">
        <v>19</v>
      </c>
      <c r="B422" s="177" t="s">
        <v>45</v>
      </c>
      <c r="C422" s="178" t="s">
        <v>882</v>
      </c>
      <c r="D422" s="290">
        <f>LOOKUP(A422,'[2]Hoja1'!$F$2:$F$915,'[2]Hoja1'!$D$2:$D$915)</f>
        <v>1.7934</v>
      </c>
      <c r="E422" s="271">
        <v>0.86</v>
      </c>
      <c r="F422" s="230"/>
      <c r="G422" s="199"/>
      <c r="H422" s="1"/>
      <c r="O422" s="286" t="e">
        <f>D422/#REF!</f>
        <v>#REF!</v>
      </c>
    </row>
    <row r="423" spans="1:15" ht="15">
      <c r="A423" s="185" t="s">
        <v>20</v>
      </c>
      <c r="B423" s="177" t="s">
        <v>46</v>
      </c>
      <c r="C423" s="178" t="s">
        <v>882</v>
      </c>
      <c r="D423" s="290">
        <f>LOOKUP(A423,'[2]Hoja1'!$F$2:$F$915,'[2]Hoja1'!$D$2:$D$915)</f>
        <v>10.1653</v>
      </c>
      <c r="E423" s="271">
        <v>7.34</v>
      </c>
      <c r="F423" s="230"/>
      <c r="G423" s="199"/>
      <c r="H423" s="1"/>
      <c r="O423" s="286" t="e">
        <f>D423/#REF!</f>
        <v>#REF!</v>
      </c>
    </row>
    <row r="424" spans="1:15" ht="15">
      <c r="A424" s="185" t="s">
        <v>21</v>
      </c>
      <c r="B424" s="177" t="s">
        <v>47</v>
      </c>
      <c r="C424" s="178" t="s">
        <v>882</v>
      </c>
      <c r="D424" s="290">
        <f>LOOKUP(A424,'[2]Hoja1'!$F$2:$F$915,'[2]Hoja1'!$D$2:$D$915)</f>
        <v>15.2066</v>
      </c>
      <c r="E424" s="271">
        <v>10.14</v>
      </c>
      <c r="F424" s="230"/>
      <c r="G424" s="199"/>
      <c r="H424" s="1"/>
      <c r="O424" s="286" t="e">
        <f>D424/#REF!</f>
        <v>#REF!</v>
      </c>
    </row>
    <row r="425" spans="1:15" ht="15" hidden="1">
      <c r="A425" s="209" t="s">
        <v>22</v>
      </c>
      <c r="B425" s="177" t="s">
        <v>49</v>
      </c>
      <c r="C425" s="178" t="s">
        <v>882</v>
      </c>
      <c r="D425" s="290">
        <f>LOOKUP(A425,'[2]Hoja1'!$F$2:$F$915,'[2]Hoja1'!$D$2:$D$915)</f>
        <v>15.2066</v>
      </c>
      <c r="E425" s="273">
        <f>E377</f>
        <v>8.17</v>
      </c>
      <c r="F425" s="234"/>
      <c r="G425" s="199"/>
      <c r="H425" s="1"/>
      <c r="O425" s="286" t="e">
        <f>D425/#REF!</f>
        <v>#REF!</v>
      </c>
    </row>
    <row r="426" spans="1:15" ht="15" hidden="1">
      <c r="A426" s="209" t="s">
        <v>69</v>
      </c>
      <c r="B426" s="177" t="s">
        <v>50</v>
      </c>
      <c r="C426" s="178" t="s">
        <v>882</v>
      </c>
      <c r="D426" s="290">
        <f>LOOKUP(A426,'[2]Hoja1'!$F$2:$F$915,'[2]Hoja1'!$D$2:$D$915)</f>
        <v>20.6364</v>
      </c>
      <c r="E426" s="278">
        <f>E396</f>
        <v>7.58</v>
      </c>
      <c r="F426" s="230"/>
      <c r="G426" s="199"/>
      <c r="H426" s="1"/>
      <c r="O426" s="286" t="e">
        <f>D426/#REF!</f>
        <v>#REF!</v>
      </c>
    </row>
    <row r="427" spans="1:15" ht="15" hidden="1">
      <c r="A427" s="209" t="s">
        <v>23</v>
      </c>
      <c r="B427" s="177" t="s">
        <v>48</v>
      </c>
      <c r="C427" s="178" t="s">
        <v>882</v>
      </c>
      <c r="D427" s="290">
        <f>LOOKUP(A427,'[2]Hoja1'!$F$2:$F$915,'[2]Hoja1'!$D$2:$D$915)</f>
        <v>15.2066</v>
      </c>
      <c r="E427" s="279">
        <v>7.62</v>
      </c>
      <c r="F427" s="230"/>
      <c r="G427" s="199"/>
      <c r="H427" s="1"/>
      <c r="O427" s="286" t="e">
        <f>D427/#REF!</f>
        <v>#REF!</v>
      </c>
    </row>
    <row r="428" spans="1:15" ht="15">
      <c r="A428" s="185" t="s">
        <v>24</v>
      </c>
      <c r="B428" s="177" t="s">
        <v>51</v>
      </c>
      <c r="C428" s="178" t="s">
        <v>882</v>
      </c>
      <c r="D428" s="290">
        <f>LOOKUP(A428,'[2]Hoja1'!$F$2:$F$915,'[2]Hoja1'!$D$2:$D$915)</f>
        <v>14.7934</v>
      </c>
      <c r="E428" s="271">
        <v>5.23</v>
      </c>
      <c r="F428" s="230"/>
      <c r="G428" s="199"/>
      <c r="H428" s="1"/>
      <c r="O428" s="286" t="e">
        <f>D428/#REF!</f>
        <v>#REF!</v>
      </c>
    </row>
    <row r="429" spans="1:15" ht="15">
      <c r="A429" s="185" t="s">
        <v>25</v>
      </c>
      <c r="B429" s="177" t="s">
        <v>52</v>
      </c>
      <c r="C429" s="178" t="s">
        <v>882</v>
      </c>
      <c r="D429" s="290">
        <f>LOOKUP(A429,'[2]Hoja1'!$F$2:$F$915,'[2]Hoja1'!$D$2:$D$915)</f>
        <v>11.7355</v>
      </c>
      <c r="E429" s="271">
        <v>5.83</v>
      </c>
      <c r="F429" s="230"/>
      <c r="G429" s="199"/>
      <c r="H429" s="1"/>
      <c r="O429" s="286" t="e">
        <f>D429/#REF!</f>
        <v>#REF!</v>
      </c>
    </row>
    <row r="430" spans="1:15" ht="15">
      <c r="A430" s="185" t="s">
        <v>307</v>
      </c>
      <c r="B430" s="176" t="s">
        <v>636</v>
      </c>
      <c r="C430" s="175" t="s">
        <v>602</v>
      </c>
      <c r="D430" s="290">
        <f>LOOKUP(A430,'[2]Hoja1'!$F$2:$F$915,'[2]Hoja1'!$D$2:$D$915)</f>
        <v>17.43</v>
      </c>
      <c r="E430" s="271">
        <v>5.8182</v>
      </c>
      <c r="F430" s="233"/>
      <c r="G430" s="215"/>
      <c r="H430" s="1" t="s">
        <v>1383</v>
      </c>
      <c r="L430" s="15">
        <v>2</v>
      </c>
      <c r="O430" s="286" t="e">
        <f>D430/#REF!</f>
        <v>#REF!</v>
      </c>
    </row>
    <row r="431" spans="1:15" ht="15">
      <c r="A431" s="185" t="s">
        <v>305</v>
      </c>
      <c r="B431" s="176" t="s">
        <v>634</v>
      </c>
      <c r="C431" s="175" t="s">
        <v>602</v>
      </c>
      <c r="D431" s="290">
        <f>LOOKUP(A431,'[2]Hoja1'!$F$2:$F$915,'[2]Hoja1'!$D$2:$D$915)</f>
        <v>24.7934</v>
      </c>
      <c r="E431" s="271">
        <v>13.8843</v>
      </c>
      <c r="F431" s="230"/>
      <c r="G431" s="199"/>
      <c r="H431" s="1" t="s">
        <v>1354</v>
      </c>
      <c r="L431" s="15">
        <v>1</v>
      </c>
      <c r="O431" s="286" t="e">
        <f>D431/#REF!</f>
        <v>#REF!</v>
      </c>
    </row>
    <row r="432" spans="1:15" ht="15">
      <c r="A432" s="185" t="s">
        <v>548</v>
      </c>
      <c r="B432" s="176" t="s">
        <v>635</v>
      </c>
      <c r="C432" s="175" t="s">
        <v>602</v>
      </c>
      <c r="D432" s="290">
        <f>LOOKUP(A432,'[2]Hoja1'!$F$2:$F$915,'[2]Hoja1'!$D$2:$D$915)</f>
        <v>36.7769</v>
      </c>
      <c r="E432" s="271">
        <v>15.7025</v>
      </c>
      <c r="F432" s="230"/>
      <c r="G432" s="199"/>
      <c r="H432" s="1" t="s">
        <v>1354</v>
      </c>
      <c r="L432" s="15">
        <v>1</v>
      </c>
      <c r="O432" s="286" t="e">
        <f>D432/#REF!</f>
        <v>#REF!</v>
      </c>
    </row>
    <row r="433" spans="1:15" ht="15">
      <c r="A433" s="185" t="s">
        <v>312</v>
      </c>
      <c r="B433" s="176" t="s">
        <v>787</v>
      </c>
      <c r="C433" s="175" t="s">
        <v>788</v>
      </c>
      <c r="D433" s="290">
        <f>LOOKUP(A433,'[2]Hoja1'!$F$2:$F$915,'[2]Hoja1'!$D$2:$D$915)</f>
        <v>20.76</v>
      </c>
      <c r="E433" s="271">
        <v>11.23</v>
      </c>
      <c r="F433" s="230"/>
      <c r="G433" s="208"/>
      <c r="H433" s="1" t="s">
        <v>1359</v>
      </c>
      <c r="L433" s="15">
        <v>2</v>
      </c>
      <c r="O433" s="286" t="e">
        <f>D433/#REF!</f>
        <v>#REF!</v>
      </c>
    </row>
    <row r="434" spans="1:15" ht="15">
      <c r="A434" s="185" t="s">
        <v>789</v>
      </c>
      <c r="B434" s="176" t="s">
        <v>790</v>
      </c>
      <c r="C434" s="175" t="s">
        <v>602</v>
      </c>
      <c r="D434" s="290">
        <f>LOOKUP(A434,'[2]Hoja1'!$F$2:$F$915,'[2]Hoja1'!$D$2:$D$915)</f>
        <v>27.53</v>
      </c>
      <c r="E434" s="271">
        <v>11.2</v>
      </c>
      <c r="F434" s="233"/>
      <c r="G434" s="208"/>
      <c r="H434" s="145" t="s">
        <v>1359</v>
      </c>
      <c r="L434" s="15">
        <v>2</v>
      </c>
      <c r="O434" s="286" t="e">
        <f>D434/#REF!</f>
        <v>#REF!</v>
      </c>
    </row>
    <row r="435" spans="1:15" ht="15">
      <c r="A435" s="185" t="s">
        <v>791</v>
      </c>
      <c r="B435" s="176" t="s">
        <v>792</v>
      </c>
      <c r="C435" s="175" t="s">
        <v>882</v>
      </c>
      <c r="D435" s="290">
        <f>LOOKUP(A435,'[2]Hoja1'!$F$2:$F$915,'[2]Hoja1'!$D$2:$D$915)</f>
        <v>1.485</v>
      </c>
      <c r="E435" s="258">
        <v>0.62</v>
      </c>
      <c r="F435" s="230"/>
      <c r="G435" s="199"/>
      <c r="H435" s="1" t="s">
        <v>1357</v>
      </c>
      <c r="L435" s="15">
        <v>1</v>
      </c>
      <c r="O435" s="286" t="e">
        <f>D435/#REF!</f>
        <v>#REF!</v>
      </c>
    </row>
    <row r="436" spans="1:15" ht="15">
      <c r="A436" s="185" t="s">
        <v>309</v>
      </c>
      <c r="B436" s="176" t="s">
        <v>615</v>
      </c>
      <c r="C436" s="175" t="s">
        <v>882</v>
      </c>
      <c r="D436" s="290">
        <f>LOOKUP(A436,'[2]Hoja1'!$F$2:$F$915,'[2]Hoja1'!$D$2:$D$915)</f>
        <v>1.4626</v>
      </c>
      <c r="E436" s="258">
        <v>0.79</v>
      </c>
      <c r="F436" s="230"/>
      <c r="G436" s="199"/>
      <c r="H436" s="1" t="s">
        <v>1357</v>
      </c>
      <c r="L436" s="15">
        <v>1</v>
      </c>
      <c r="O436" s="286" t="e">
        <f>D436/#REF!</f>
        <v>#REF!</v>
      </c>
    </row>
    <row r="437" spans="1:15" ht="15">
      <c r="A437" s="185" t="s">
        <v>793</v>
      </c>
      <c r="B437" s="176" t="s">
        <v>727</v>
      </c>
      <c r="C437" s="175" t="s">
        <v>602</v>
      </c>
      <c r="D437" s="290">
        <f>LOOKUP(A437,'[2]Hoja1'!$F$2:$F$915,'[2]Hoja1'!$D$2:$D$915)</f>
        <v>55.5245</v>
      </c>
      <c r="E437" s="258">
        <v>32.1543</v>
      </c>
      <c r="F437" s="230"/>
      <c r="G437" s="199"/>
      <c r="H437" s="1" t="s">
        <v>1295</v>
      </c>
      <c r="L437" s="15">
        <v>3</v>
      </c>
      <c r="O437" s="286" t="e">
        <f>D437/#REF!</f>
        <v>#REF!</v>
      </c>
    </row>
    <row r="438" spans="1:15" ht="15">
      <c r="A438" s="185" t="s">
        <v>794</v>
      </c>
      <c r="B438" s="176" t="s">
        <v>795</v>
      </c>
      <c r="C438" s="175" t="s">
        <v>602</v>
      </c>
      <c r="D438" s="290">
        <f>LOOKUP(A438,'[2]Hoja1'!$F$2:$F$915,'[2]Hoja1'!$D$2:$D$915)</f>
        <v>73.6997</v>
      </c>
      <c r="E438" s="258">
        <v>44.697</v>
      </c>
      <c r="F438" s="233"/>
      <c r="G438" s="199"/>
      <c r="H438" s="1"/>
      <c r="L438" s="15">
        <v>3</v>
      </c>
      <c r="O438" s="286" t="e">
        <f>D438/#REF!</f>
        <v>#REF!</v>
      </c>
    </row>
    <row r="439" spans="1:15" ht="15">
      <c r="A439" s="185" t="s">
        <v>321</v>
      </c>
      <c r="B439" s="176" t="s">
        <v>648</v>
      </c>
      <c r="C439" s="175" t="s">
        <v>602</v>
      </c>
      <c r="D439" s="290">
        <f>LOOKUP(A439,'[2]Hoja1'!$F$2:$F$915,'[2]Hoja1'!$D$2:$D$915)</f>
        <v>42.7449</v>
      </c>
      <c r="E439" s="258">
        <v>23.7438</v>
      </c>
      <c r="F439" s="230"/>
      <c r="G439" s="199"/>
      <c r="H439" s="1"/>
      <c r="L439" s="15">
        <v>3</v>
      </c>
      <c r="O439" s="286" t="e">
        <f>D439/#REF!</f>
        <v>#REF!</v>
      </c>
    </row>
    <row r="440" spans="1:15" ht="15.75" thickBot="1">
      <c r="A440" s="382" t="s">
        <v>726</v>
      </c>
      <c r="B440" s="383" t="s">
        <v>796</v>
      </c>
      <c r="C440" s="384" t="s">
        <v>602</v>
      </c>
      <c r="D440" s="290">
        <f>LOOKUP(A440,'[2]Hoja1'!$F$2:$F$915,'[2]Hoja1'!$D$2:$D$915)</f>
        <v>49.4215</v>
      </c>
      <c r="E440" s="280">
        <v>39.13</v>
      </c>
      <c r="F440" s="237"/>
      <c r="G440" s="216"/>
      <c r="H440" s="1"/>
      <c r="L440" s="15">
        <v>3</v>
      </c>
      <c r="O440" s="286" t="e">
        <f>D440/#REF!</f>
        <v>#REF!</v>
      </c>
    </row>
    <row r="441" spans="5:15" ht="15" customHeight="1">
      <c r="E441" s="288">
        <v>39.1322</v>
      </c>
      <c r="L441" s="15">
        <f>SUM(L6:L440)</f>
        <v>456</v>
      </c>
      <c r="O441" s="15" t="e">
        <f>D525/#REF!</f>
        <v>#REF!</v>
      </c>
    </row>
    <row r="442" ht="15"/>
    <row r="443" ht="15">
      <c r="D443" s="381"/>
    </row>
    <row r="444" ht="15">
      <c r="D444" s="381"/>
    </row>
    <row r="445" spans="1:7" s="101" customFormat="1" ht="15.75">
      <c r="A445" s="395" t="s">
        <v>162</v>
      </c>
      <c r="B445" s="395"/>
      <c r="C445" s="395"/>
      <c r="D445" s="395"/>
      <c r="E445" s="303"/>
      <c r="F445" s="304"/>
      <c r="G445" s="305"/>
    </row>
    <row r="446" spans="1:4" ht="15.75" thickBot="1">
      <c r="A446" s="302"/>
      <c r="B446" s="302"/>
      <c r="C446" s="302"/>
      <c r="D446" s="302"/>
    </row>
    <row r="447" spans="1:4" ht="15">
      <c r="A447" s="331" t="s">
        <v>131</v>
      </c>
      <c r="B447" s="295" t="s">
        <v>147</v>
      </c>
      <c r="C447" s="357" t="s">
        <v>882</v>
      </c>
      <c r="D447" s="290">
        <f>LOOKUP(A447,'[2]Hoja1'!$F$2:$F$915,'[2]Hoja1'!$D$2:$D$915)</f>
        <v>353961.9</v>
      </c>
    </row>
    <row r="448" spans="1:4" ht="15">
      <c r="A448" s="332" t="s">
        <v>132</v>
      </c>
      <c r="B448" s="297" t="s">
        <v>148</v>
      </c>
      <c r="C448" s="358" t="s">
        <v>882</v>
      </c>
      <c r="D448" s="290">
        <f>LOOKUP(A448,'[2]Hoja1'!$F$2:$F$915,'[2]Hoja1'!$D$2:$D$915)</f>
        <v>837577.26</v>
      </c>
    </row>
    <row r="449" spans="1:4" ht="15">
      <c r="A449" s="332" t="s">
        <v>133</v>
      </c>
      <c r="B449" s="297" t="s">
        <v>149</v>
      </c>
      <c r="C449" s="358" t="s">
        <v>882</v>
      </c>
      <c r="D449" s="290">
        <f>LOOKUP(A449,'[2]Hoja1'!$F$2:$F$915,'[2]Hoja1'!$D$2:$D$915)</f>
        <v>816896.34</v>
      </c>
    </row>
    <row r="450" spans="1:4" ht="15">
      <c r="A450" s="332" t="s">
        <v>134</v>
      </c>
      <c r="B450" s="297" t="s">
        <v>150</v>
      </c>
      <c r="C450" s="358" t="s">
        <v>882</v>
      </c>
      <c r="D450" s="290">
        <f>LOOKUP(A450,'[2]Hoja1'!$F$2:$F$915,'[2]Hoja1'!$D$2:$D$915)</f>
        <v>419295.9276</v>
      </c>
    </row>
    <row r="451" spans="1:4" ht="15" customHeight="1">
      <c r="A451" s="332" t="s">
        <v>135</v>
      </c>
      <c r="B451" s="297" t="s">
        <v>151</v>
      </c>
      <c r="C451" s="358" t="s">
        <v>882</v>
      </c>
      <c r="D451" s="290">
        <f>LOOKUP(A451,'[2]Hoja1'!$F$2:$F$915,'[2]Hoja1'!$D$2:$D$915)</f>
        <v>2142861.48</v>
      </c>
    </row>
    <row r="452" spans="1:4" ht="15">
      <c r="A452" s="332" t="s">
        <v>136</v>
      </c>
      <c r="B452" s="297" t="s">
        <v>410</v>
      </c>
      <c r="C452" s="358" t="s">
        <v>882</v>
      </c>
      <c r="D452" s="290">
        <f>LOOKUP(A452,'[2]Hoja1'!$F$2:$F$915,'[2]Hoja1'!$D$2:$D$915)</f>
        <v>13538.05</v>
      </c>
    </row>
    <row r="453" spans="1:4" ht="15">
      <c r="A453" s="332" t="s">
        <v>137</v>
      </c>
      <c r="B453" s="298" t="s">
        <v>152</v>
      </c>
      <c r="C453" s="358" t="s">
        <v>882</v>
      </c>
      <c r="D453" s="290">
        <f>LOOKUP(A453,'[2]Hoja1'!$F$2:$F$915,'[2]Hoja1'!$D$2:$D$915)</f>
        <v>2962.94</v>
      </c>
    </row>
    <row r="454" spans="1:4" ht="15">
      <c r="A454" s="332" t="s">
        <v>138</v>
      </c>
      <c r="B454" s="298" t="s">
        <v>153</v>
      </c>
      <c r="C454" s="358" t="s">
        <v>882</v>
      </c>
      <c r="D454" s="290">
        <f>LOOKUP(A454,'[2]Hoja1'!$F$2:$F$915,'[2]Hoja1'!$D$2:$D$915)</f>
        <v>9664.35</v>
      </c>
    </row>
    <row r="455" spans="1:4" ht="15">
      <c r="A455" s="332" t="s">
        <v>139</v>
      </c>
      <c r="B455" s="298" t="s">
        <v>154</v>
      </c>
      <c r="C455" s="358" t="s">
        <v>882</v>
      </c>
      <c r="D455" s="290">
        <f>LOOKUP(A455,'[2]Hoja1'!$F$2:$F$915,'[2]Hoja1'!$D$2:$D$915)</f>
        <v>41902.73</v>
      </c>
    </row>
    <row r="456" spans="1:4" ht="15">
      <c r="A456" s="333" t="s">
        <v>140</v>
      </c>
      <c r="B456" s="299" t="s">
        <v>155</v>
      </c>
      <c r="C456" s="359" t="s">
        <v>882</v>
      </c>
      <c r="D456" s="290">
        <f>LOOKUP(A456,'[2]Hoja1'!$F$2:$F$915,'[2]Hoja1'!$D$2:$D$915)</f>
        <v>226748.6879</v>
      </c>
    </row>
    <row r="457" spans="1:4" ht="15">
      <c r="A457" s="332" t="s">
        <v>141</v>
      </c>
      <c r="B457" s="298" t="s">
        <v>156</v>
      </c>
      <c r="C457" s="358" t="s">
        <v>882</v>
      </c>
      <c r="D457" s="290">
        <f>LOOKUP(A457,'[2]Hoja1'!$F$2:$F$915,'[2]Hoja1'!$D$2:$D$915)</f>
        <v>9962.64</v>
      </c>
    </row>
    <row r="458" spans="1:4" ht="15">
      <c r="A458" s="332" t="s">
        <v>142</v>
      </c>
      <c r="B458" s="298" t="s">
        <v>157</v>
      </c>
      <c r="C458" s="358" t="s">
        <v>882</v>
      </c>
      <c r="D458" s="290">
        <f>LOOKUP(A458,'[2]Hoja1'!$F$2:$F$915,'[2]Hoja1'!$D$2:$D$915)</f>
        <v>57000</v>
      </c>
    </row>
    <row r="459" spans="1:4" ht="15" hidden="1">
      <c r="A459" s="332" t="s">
        <v>143</v>
      </c>
      <c r="B459" s="298" t="s">
        <v>158</v>
      </c>
      <c r="C459" s="358" t="s">
        <v>882</v>
      </c>
      <c r="D459" s="290">
        <f>LOOKUP(A459,'[2]Hoja1'!$F$2:$F$915,'[2]Hoja1'!$D$2:$D$915)</f>
        <v>0</v>
      </c>
    </row>
    <row r="460" spans="1:4" ht="15">
      <c r="A460" s="332" t="s">
        <v>144</v>
      </c>
      <c r="B460" s="298" t="s">
        <v>159</v>
      </c>
      <c r="C460" s="358" t="s">
        <v>882</v>
      </c>
      <c r="D460" s="290">
        <f>LOOKUP(A460,'[2]Hoja1'!$F$2:$F$915,'[2]Hoja1'!$D$2:$D$915)</f>
        <v>72000</v>
      </c>
    </row>
    <row r="461" spans="1:4" ht="15">
      <c r="A461" s="332" t="s">
        <v>145</v>
      </c>
      <c r="B461" s="298" t="s">
        <v>160</v>
      </c>
      <c r="C461" s="358" t="s">
        <v>882</v>
      </c>
      <c r="D461" s="290">
        <f>LOOKUP(A461,'[2]Hoja1'!$F$2:$F$915,'[2]Hoja1'!$D$2:$D$915)</f>
        <v>135600</v>
      </c>
    </row>
    <row r="462" spans="1:4" ht="15.75" thickBot="1">
      <c r="A462" s="334" t="s">
        <v>146</v>
      </c>
      <c r="B462" s="301" t="s">
        <v>161</v>
      </c>
      <c r="C462" s="360" t="s">
        <v>882</v>
      </c>
      <c r="D462" s="290">
        <f>LOOKUP(A462,'[2]Hoja1'!$F$2:$F$915,'[2]Hoja1'!$D$2:$D$915)</f>
        <v>86400</v>
      </c>
    </row>
    <row r="463" spans="1:4" ht="15">
      <c r="A463" s="294" t="s">
        <v>167</v>
      </c>
      <c r="B463" s="307" t="s">
        <v>168</v>
      </c>
      <c r="C463" s="357" t="s">
        <v>475</v>
      </c>
      <c r="D463" s="290">
        <f>LOOKUP(A463,'[2]Hoja1'!$F$2:$F$915,'[2]Hoja1'!$D$2:$D$915)</f>
        <v>407.7642</v>
      </c>
    </row>
    <row r="464" spans="1:4" ht="15">
      <c r="A464" s="296" t="s">
        <v>169</v>
      </c>
      <c r="B464" s="298" t="s">
        <v>180</v>
      </c>
      <c r="C464" s="361" t="s">
        <v>882</v>
      </c>
      <c r="D464" s="290">
        <f>LOOKUP(A464,'[2]Hoja1'!$F$2:$F$915,'[2]Hoja1'!$D$2:$D$915)</f>
        <v>1016.5289</v>
      </c>
    </row>
    <row r="465" spans="1:4" ht="15">
      <c r="A465" s="296" t="s">
        <v>170</v>
      </c>
      <c r="B465" s="298" t="s">
        <v>181</v>
      </c>
      <c r="C465" s="361" t="s">
        <v>882</v>
      </c>
      <c r="D465" s="290">
        <f>LOOKUP(A465,'[2]Hoja1'!$F$2:$F$915,'[2]Hoja1'!$D$2:$D$915)</f>
        <v>102.4793</v>
      </c>
    </row>
    <row r="466" spans="1:4" ht="15">
      <c r="A466" s="296" t="s">
        <v>171</v>
      </c>
      <c r="B466" s="298" t="s">
        <v>182</v>
      </c>
      <c r="C466" s="361" t="s">
        <v>882</v>
      </c>
      <c r="D466" s="290">
        <f>LOOKUP(A466,'[2]Hoja1'!$F$2:$F$915,'[2]Hoja1'!$D$2:$D$915)</f>
        <v>94.2149</v>
      </c>
    </row>
    <row r="467" spans="1:4" ht="15">
      <c r="A467" s="296" t="s">
        <v>172</v>
      </c>
      <c r="B467" s="298" t="s">
        <v>183</v>
      </c>
      <c r="C467" s="361" t="s">
        <v>882</v>
      </c>
      <c r="D467" s="290">
        <f>LOOKUP(A467,'[2]Hoja1'!$F$2:$F$915,'[2]Hoja1'!$D$2:$D$915)</f>
        <v>11.5702</v>
      </c>
    </row>
    <row r="468" spans="1:4" ht="15">
      <c r="A468" s="296" t="s">
        <v>173</v>
      </c>
      <c r="B468" s="298" t="s">
        <v>184</v>
      </c>
      <c r="C468" s="361" t="s">
        <v>882</v>
      </c>
      <c r="D468" s="290">
        <f>LOOKUP(A468,'[2]Hoja1'!$F$2:$F$915,'[2]Hoja1'!$D$2:$D$915)</f>
        <v>46.281</v>
      </c>
    </row>
    <row r="469" spans="1:4" ht="15">
      <c r="A469" s="296" t="s">
        <v>174</v>
      </c>
      <c r="B469" s="298" t="s">
        <v>185</v>
      </c>
      <c r="C469" s="361" t="s">
        <v>882</v>
      </c>
      <c r="D469" s="290">
        <f>LOOKUP(A469,'[2]Hoja1'!$F$2:$F$915,'[2]Hoja1'!$D$2:$D$915)</f>
        <v>4.1322</v>
      </c>
    </row>
    <row r="470" spans="1:4" ht="15">
      <c r="A470" s="296" t="s">
        <v>175</v>
      </c>
      <c r="B470" s="298" t="s">
        <v>186</v>
      </c>
      <c r="C470" s="361" t="s">
        <v>882</v>
      </c>
      <c r="D470" s="290">
        <f>LOOKUP(A470,'[2]Hoja1'!$F$2:$F$915,'[2]Hoja1'!$D$2:$D$915)</f>
        <v>28.9256</v>
      </c>
    </row>
    <row r="471" spans="1:4" ht="15">
      <c r="A471" s="296" t="s">
        <v>176</v>
      </c>
      <c r="B471" s="298" t="s">
        <v>187</v>
      </c>
      <c r="C471" s="361" t="s">
        <v>882</v>
      </c>
      <c r="D471" s="290">
        <f>LOOKUP(A471,'[2]Hoja1'!$F$2:$F$915,'[2]Hoja1'!$D$2:$D$915)</f>
        <v>5.7851</v>
      </c>
    </row>
    <row r="472" spans="1:4" ht="15">
      <c r="A472" s="296" t="s">
        <v>177</v>
      </c>
      <c r="B472" s="298" t="s">
        <v>188</v>
      </c>
      <c r="C472" s="361" t="s">
        <v>882</v>
      </c>
      <c r="D472" s="290">
        <f>LOOKUP(A472,'[2]Hoja1'!$F$2:$F$915,'[2]Hoja1'!$D$2:$D$915)</f>
        <v>192.562</v>
      </c>
    </row>
    <row r="473" spans="1:4" ht="15">
      <c r="A473" s="296" t="s">
        <v>178</v>
      </c>
      <c r="B473" s="298" t="s">
        <v>189</v>
      </c>
      <c r="C473" s="361" t="s">
        <v>882</v>
      </c>
      <c r="D473" s="290">
        <f>LOOKUP(A473,'[2]Hoja1'!$F$2:$F$915,'[2]Hoja1'!$D$2:$D$915)</f>
        <v>630.5785</v>
      </c>
    </row>
    <row r="474" spans="1:4" ht="15.75" thickBot="1">
      <c r="A474" s="300" t="s">
        <v>179</v>
      </c>
      <c r="B474" s="301" t="s">
        <v>190</v>
      </c>
      <c r="C474" s="362" t="s">
        <v>882</v>
      </c>
      <c r="D474" s="290">
        <f>LOOKUP(A474,'[2]Hoja1'!$F$2:$F$915,'[2]Hoja1'!$D$2:$D$915)</f>
        <v>1056.1983</v>
      </c>
    </row>
    <row r="475" spans="1:4" ht="15">
      <c r="A475" s="342" t="s">
        <v>208</v>
      </c>
      <c r="B475" s="343" t="s">
        <v>102</v>
      </c>
      <c r="C475" s="363" t="s">
        <v>475</v>
      </c>
      <c r="D475" s="290">
        <f>LOOKUP(A475,'[2]Hoja1'!$F$2:$F$915,'[2]Hoja1'!$D$2:$D$915)</f>
        <v>1.5809</v>
      </c>
    </row>
    <row r="476" spans="1:4" ht="15">
      <c r="A476" s="297" t="s">
        <v>209</v>
      </c>
      <c r="B476" s="341" t="s">
        <v>255</v>
      </c>
      <c r="C476" s="364" t="s">
        <v>882</v>
      </c>
      <c r="D476" s="290">
        <f>LOOKUP(A476,'[2]Hoja1'!$F$2:$F$915,'[2]Hoja1'!$D$2:$D$915)</f>
        <v>35.9127</v>
      </c>
    </row>
    <row r="477" spans="1:4" ht="15">
      <c r="A477" s="297" t="s">
        <v>210</v>
      </c>
      <c r="B477" s="341" t="s">
        <v>256</v>
      </c>
      <c r="C477" s="364" t="s">
        <v>882</v>
      </c>
      <c r="D477" s="290">
        <f>LOOKUP(A477,'[2]Hoja1'!$F$2:$F$915,'[2]Hoja1'!$D$2:$D$915)</f>
        <v>71.3786</v>
      </c>
    </row>
    <row r="478" spans="1:4" ht="15">
      <c r="A478" s="297" t="s">
        <v>211</v>
      </c>
      <c r="B478" s="341" t="s">
        <v>124</v>
      </c>
      <c r="C478" s="364" t="s">
        <v>475</v>
      </c>
      <c r="D478" s="290">
        <f>LOOKUP(A478,'[2]Hoja1'!$F$2:$F$915,'[2]Hoja1'!$D$2:$D$915)</f>
        <v>2.5463</v>
      </c>
    </row>
    <row r="479" spans="1:4" ht="15">
      <c r="A479" s="297" t="s">
        <v>212</v>
      </c>
      <c r="B479" s="341" t="s">
        <v>257</v>
      </c>
      <c r="C479" s="364" t="s">
        <v>475</v>
      </c>
      <c r="D479" s="290">
        <f>LOOKUP(A479,'[2]Hoja1'!$F$2:$F$915,'[2]Hoja1'!$D$2:$D$915)</f>
        <v>1.4704</v>
      </c>
    </row>
    <row r="480" spans="1:4" ht="15">
      <c r="A480" s="297" t="s">
        <v>213</v>
      </c>
      <c r="B480" s="341" t="s">
        <v>258</v>
      </c>
      <c r="C480" s="364" t="s">
        <v>475</v>
      </c>
      <c r="D480" s="290">
        <f>LOOKUP(A480,'[2]Hoja1'!$F$2:$F$915,'[2]Hoja1'!$D$2:$D$915)</f>
        <v>6.7525</v>
      </c>
    </row>
    <row r="481" spans="1:4" ht="15">
      <c r="A481" s="297" t="s">
        <v>214</v>
      </c>
      <c r="B481" s="341" t="s">
        <v>259</v>
      </c>
      <c r="C481" s="364" t="s">
        <v>475</v>
      </c>
      <c r="D481" s="290">
        <f>LOOKUP(A481,'[2]Hoja1'!$F$2:$F$915,'[2]Hoja1'!$D$2:$D$915)</f>
        <v>12.7595</v>
      </c>
    </row>
    <row r="482" spans="1:4" ht="15">
      <c r="A482" s="297" t="s">
        <v>215</v>
      </c>
      <c r="B482" s="341" t="s">
        <v>260</v>
      </c>
      <c r="C482" s="364" t="s">
        <v>475</v>
      </c>
      <c r="D482" s="290">
        <f>LOOKUP(A482,'[2]Hoja1'!$F$2:$F$915,'[2]Hoja1'!$D$2:$D$915)</f>
        <v>0.8591</v>
      </c>
    </row>
    <row r="483" spans="1:4" ht="15">
      <c r="A483" s="297" t="s">
        <v>216</v>
      </c>
      <c r="B483" s="341" t="s">
        <v>92</v>
      </c>
      <c r="C483" s="364" t="s">
        <v>882</v>
      </c>
      <c r="D483" s="290">
        <f>LOOKUP(A483,'[2]Hoja1'!$F$2:$F$915,'[2]Hoja1'!$D$2:$D$915)</f>
        <v>1.8504</v>
      </c>
    </row>
    <row r="484" spans="1:4" ht="15">
      <c r="A484" s="297" t="s">
        <v>217</v>
      </c>
      <c r="B484" s="341" t="s">
        <v>90</v>
      </c>
      <c r="C484" s="364" t="s">
        <v>882</v>
      </c>
      <c r="D484" s="290">
        <f>LOOKUP(A484,'[2]Hoja1'!$F$2:$F$915,'[2]Hoja1'!$D$2:$D$915)</f>
        <v>0.919</v>
      </c>
    </row>
    <row r="485" spans="1:4" ht="15">
      <c r="A485" s="297" t="s">
        <v>218</v>
      </c>
      <c r="B485" s="341" t="s">
        <v>95</v>
      </c>
      <c r="C485" s="364" t="s">
        <v>882</v>
      </c>
      <c r="D485" s="290">
        <f>LOOKUP(A485,'[2]Hoja1'!$F$2:$F$915,'[2]Hoja1'!$D$2:$D$915)</f>
        <v>3.8504</v>
      </c>
    </row>
    <row r="486" spans="1:4" ht="15">
      <c r="A486" s="297" t="s">
        <v>219</v>
      </c>
      <c r="B486" s="341" t="s">
        <v>261</v>
      </c>
      <c r="C486" s="364" t="s">
        <v>882</v>
      </c>
      <c r="D486" s="290">
        <f>LOOKUP(A486,'[2]Hoja1'!$F$2:$F$915,'[2]Hoja1'!$D$2:$D$915)</f>
        <v>1.9003</v>
      </c>
    </row>
    <row r="487" spans="1:4" ht="15">
      <c r="A487" s="297" t="s">
        <v>220</v>
      </c>
      <c r="B487" s="341" t="s">
        <v>262</v>
      </c>
      <c r="C487" s="364" t="s">
        <v>882</v>
      </c>
      <c r="D487" s="290">
        <f>LOOKUP(A487,'[2]Hoja1'!$F$2:$F$915,'[2]Hoja1'!$D$2:$D$915)</f>
        <v>15.1434</v>
      </c>
    </row>
    <row r="488" spans="1:4" ht="15">
      <c r="A488" s="297" t="s">
        <v>221</v>
      </c>
      <c r="B488" s="341" t="s">
        <v>263</v>
      </c>
      <c r="C488" s="364" t="s">
        <v>882</v>
      </c>
      <c r="D488" s="290">
        <f>LOOKUP(A488,'[2]Hoja1'!$F$2:$F$915,'[2]Hoja1'!$D$2:$D$915)</f>
        <v>21.0512</v>
      </c>
    </row>
    <row r="489" spans="1:4" ht="15">
      <c r="A489" s="297" t="s">
        <v>222</v>
      </c>
      <c r="B489" s="341" t="s">
        <v>264</v>
      </c>
      <c r="C489" s="364" t="s">
        <v>882</v>
      </c>
      <c r="D489" s="290">
        <f>LOOKUP(A489,'[2]Hoja1'!$F$2:$F$915,'[2]Hoja1'!$D$2:$D$915)</f>
        <v>10.9143</v>
      </c>
    </row>
    <row r="490" spans="1:4" ht="15">
      <c r="A490" s="297" t="s">
        <v>223</v>
      </c>
      <c r="B490" s="341" t="s">
        <v>265</v>
      </c>
      <c r="C490" s="364" t="s">
        <v>882</v>
      </c>
      <c r="D490" s="290">
        <f>LOOKUP(A490,'[2]Hoja1'!$F$2:$F$915,'[2]Hoja1'!$D$2:$D$915)</f>
        <v>14.8434</v>
      </c>
    </row>
    <row r="491" spans="1:4" ht="15">
      <c r="A491" s="297" t="s">
        <v>224</v>
      </c>
      <c r="B491" s="341" t="s">
        <v>75</v>
      </c>
      <c r="C491" s="364" t="s">
        <v>882</v>
      </c>
      <c r="D491" s="290">
        <f>LOOKUP(A491,'[2]Hoja1'!$F$2:$F$915,'[2]Hoja1'!$D$2:$D$915)</f>
        <v>16.888</v>
      </c>
    </row>
    <row r="492" spans="1:4" ht="15">
      <c r="A492" s="297" t="s">
        <v>225</v>
      </c>
      <c r="B492" s="341" t="s">
        <v>266</v>
      </c>
      <c r="C492" s="364" t="s">
        <v>882</v>
      </c>
      <c r="D492" s="290">
        <f>LOOKUP(A492,'[2]Hoja1'!$F$2:$F$915,'[2]Hoja1'!$D$2:$D$915)</f>
        <v>1.8393</v>
      </c>
    </row>
    <row r="493" spans="1:4" ht="15">
      <c r="A493" s="297" t="s">
        <v>226</v>
      </c>
      <c r="B493" s="341" t="s">
        <v>267</v>
      </c>
      <c r="C493" s="364" t="s">
        <v>882</v>
      </c>
      <c r="D493" s="290">
        <f>LOOKUP(A493,'[2]Hoja1'!$F$2:$F$915,'[2]Hoja1'!$D$2:$D$915)</f>
        <v>1.7095</v>
      </c>
    </row>
    <row r="494" spans="1:4" ht="15">
      <c r="A494" s="297" t="s">
        <v>227</v>
      </c>
      <c r="B494" s="341" t="s">
        <v>268</v>
      </c>
      <c r="C494" s="364" t="s">
        <v>475</v>
      </c>
      <c r="D494" s="290">
        <f>LOOKUP(A494,'[2]Hoja1'!$F$2:$F$915,'[2]Hoja1'!$D$2:$D$915)</f>
        <v>0.6479</v>
      </c>
    </row>
    <row r="495" spans="1:4" ht="15">
      <c r="A495" s="297" t="s">
        <v>228</v>
      </c>
      <c r="B495" s="341" t="s">
        <v>269</v>
      </c>
      <c r="C495" s="364" t="s">
        <v>882</v>
      </c>
      <c r="D495" s="290">
        <f>LOOKUP(A495,'[2]Hoja1'!$F$2:$F$915,'[2]Hoja1'!$D$2:$D$915)</f>
        <v>9.0063</v>
      </c>
    </row>
    <row r="496" spans="1:4" ht="15">
      <c r="A496" s="297" t="s">
        <v>229</v>
      </c>
      <c r="B496" s="341" t="s">
        <v>270</v>
      </c>
      <c r="C496" s="364" t="s">
        <v>882</v>
      </c>
      <c r="D496" s="290">
        <f>LOOKUP(A496,'[2]Hoja1'!$F$2:$F$915,'[2]Hoja1'!$D$2:$D$915)</f>
        <v>16.4281</v>
      </c>
    </row>
    <row r="497" spans="1:4" ht="15">
      <c r="A497" s="297" t="s">
        <v>230</v>
      </c>
      <c r="B497" s="341" t="s">
        <v>271</v>
      </c>
      <c r="C497" s="364" t="s">
        <v>882</v>
      </c>
      <c r="D497" s="290">
        <f>LOOKUP(A497,'[2]Hoja1'!$F$2:$F$915,'[2]Hoja1'!$D$2:$D$915)</f>
        <v>82.1963</v>
      </c>
    </row>
    <row r="498" spans="1:4" ht="15">
      <c r="A498" s="297" t="s">
        <v>231</v>
      </c>
      <c r="B498" s="341" t="s">
        <v>272</v>
      </c>
      <c r="C498" s="364" t="s">
        <v>882</v>
      </c>
      <c r="D498" s="290">
        <f>LOOKUP(A498,'[2]Hoja1'!$F$2:$F$915,'[2]Hoja1'!$D$2:$D$915)</f>
        <v>26.874</v>
      </c>
    </row>
    <row r="499" spans="1:4" ht="15">
      <c r="A499" s="297" t="s">
        <v>232</v>
      </c>
      <c r="B499" s="341" t="s">
        <v>273</v>
      </c>
      <c r="C499" s="364" t="s">
        <v>882</v>
      </c>
      <c r="D499" s="290">
        <f>LOOKUP(A499,'[2]Hoja1'!$F$2:$F$915,'[2]Hoja1'!$D$2:$D$915)</f>
        <v>87.1475</v>
      </c>
    </row>
    <row r="500" spans="1:4" ht="15">
      <c r="A500" s="297" t="s">
        <v>233</v>
      </c>
      <c r="B500" s="341" t="s">
        <v>274</v>
      </c>
      <c r="C500" s="364" t="s">
        <v>882</v>
      </c>
      <c r="D500" s="290">
        <f>LOOKUP(A500,'[2]Hoja1'!$F$2:$F$915,'[2]Hoja1'!$D$2:$D$915)</f>
        <v>161.9173</v>
      </c>
    </row>
    <row r="501" spans="1:4" ht="15">
      <c r="A501" s="297" t="s">
        <v>234</v>
      </c>
      <c r="B501" s="341" t="s">
        <v>275</v>
      </c>
      <c r="C501" s="364" t="s">
        <v>882</v>
      </c>
      <c r="D501" s="290">
        <f>LOOKUP(A501,'[2]Hoja1'!$F$2:$F$915,'[2]Hoja1'!$D$2:$D$915)</f>
        <v>8.5169</v>
      </c>
    </row>
    <row r="502" spans="1:4" ht="15">
      <c r="A502" s="297" t="s">
        <v>235</v>
      </c>
      <c r="B502" s="341" t="s">
        <v>276</v>
      </c>
      <c r="C502" s="364" t="s">
        <v>882</v>
      </c>
      <c r="D502" s="290">
        <f>LOOKUP(A502,'[2]Hoja1'!$F$2:$F$915,'[2]Hoja1'!$D$2:$D$915)</f>
        <v>11.5865</v>
      </c>
    </row>
    <row r="503" spans="1:4" ht="15">
      <c r="A503" s="297" t="s">
        <v>236</v>
      </c>
      <c r="B503" s="341" t="s">
        <v>277</v>
      </c>
      <c r="C503" s="364" t="s">
        <v>882</v>
      </c>
      <c r="D503" s="290">
        <f>LOOKUP(A503,'[2]Hoja1'!$F$2:$F$915,'[2]Hoja1'!$D$2:$D$915)</f>
        <v>10.6938</v>
      </c>
    </row>
    <row r="504" spans="1:4" ht="15">
      <c r="A504" s="297" t="s">
        <v>237</v>
      </c>
      <c r="B504" s="341" t="s">
        <v>278</v>
      </c>
      <c r="C504" s="364" t="s">
        <v>882</v>
      </c>
      <c r="D504" s="290">
        <f>LOOKUP(A504,'[2]Hoja1'!$F$2:$F$915,'[2]Hoja1'!$D$2:$D$915)</f>
        <v>154.9136</v>
      </c>
    </row>
    <row r="505" spans="1:4" ht="15">
      <c r="A505" s="297" t="s">
        <v>238</v>
      </c>
      <c r="B505" s="341" t="s">
        <v>279</v>
      </c>
      <c r="C505" s="364" t="s">
        <v>882</v>
      </c>
      <c r="D505" s="290">
        <f>LOOKUP(A505,'[2]Hoja1'!$F$2:$F$915,'[2]Hoja1'!$D$2:$D$915)</f>
        <v>190.5624</v>
      </c>
    </row>
    <row r="506" spans="1:4" ht="15">
      <c r="A506" s="297" t="s">
        <v>239</v>
      </c>
      <c r="B506" s="341" t="s">
        <v>280</v>
      </c>
      <c r="C506" s="364" t="s">
        <v>882</v>
      </c>
      <c r="D506" s="290">
        <f>LOOKUP(A506,'[2]Hoja1'!$F$2:$F$915,'[2]Hoja1'!$D$2:$D$915)</f>
        <v>26.4202</v>
      </c>
    </row>
    <row r="507" spans="1:4" ht="15">
      <c r="A507" s="297" t="s">
        <v>240</v>
      </c>
      <c r="B507" s="341" t="s">
        <v>281</v>
      </c>
      <c r="C507" s="364" t="s">
        <v>882</v>
      </c>
      <c r="D507" s="290">
        <f>LOOKUP(A507,'[2]Hoja1'!$F$2:$F$915,'[2]Hoja1'!$D$2:$D$915)</f>
        <v>60.364</v>
      </c>
    </row>
    <row r="508" spans="1:4" ht="15">
      <c r="A508" s="297" t="s">
        <v>241</v>
      </c>
      <c r="B508" s="341" t="s">
        <v>282</v>
      </c>
      <c r="C508" s="364" t="s">
        <v>882</v>
      </c>
      <c r="D508" s="290">
        <f>LOOKUP(A508,'[2]Hoja1'!$F$2:$F$915,'[2]Hoja1'!$D$2:$D$915)</f>
        <v>49.6645</v>
      </c>
    </row>
    <row r="509" spans="1:4" ht="15">
      <c r="A509" s="297" t="s">
        <v>242</v>
      </c>
      <c r="B509" s="341" t="s">
        <v>283</v>
      </c>
      <c r="C509" s="364" t="s">
        <v>882</v>
      </c>
      <c r="D509" s="290">
        <f>LOOKUP(A509,'[2]Hoja1'!$F$2:$F$915,'[2]Hoja1'!$D$2:$D$915)</f>
        <v>11.6674</v>
      </c>
    </row>
    <row r="510" spans="1:4" ht="15">
      <c r="A510" s="297" t="s">
        <v>243</v>
      </c>
      <c r="B510" s="341" t="s">
        <v>284</v>
      </c>
      <c r="C510" s="364" t="s">
        <v>882</v>
      </c>
      <c r="D510" s="290">
        <f>LOOKUP(A510,'[2]Hoja1'!$F$2:$F$915,'[2]Hoja1'!$D$2:$D$915)</f>
        <v>14000</v>
      </c>
    </row>
    <row r="511" spans="1:4" ht="15">
      <c r="A511" s="297" t="s">
        <v>244</v>
      </c>
      <c r="B511" s="341" t="s">
        <v>285</v>
      </c>
      <c r="C511" s="364" t="s">
        <v>882</v>
      </c>
      <c r="D511" s="290">
        <f>LOOKUP(A511,'[2]Hoja1'!$F$2:$F$915,'[2]Hoja1'!$D$2:$D$915)</f>
        <v>3.1</v>
      </c>
    </row>
    <row r="512" spans="1:4" ht="15">
      <c r="A512" s="297" t="s">
        <v>245</v>
      </c>
      <c r="B512" s="341" t="s">
        <v>1414</v>
      </c>
      <c r="C512" s="364" t="s">
        <v>882</v>
      </c>
      <c r="D512" s="290">
        <f>LOOKUP(A512,'[2]Hoja1'!$F$2:$F$915,'[2]Hoja1'!$D$2:$D$915)</f>
        <v>25.9777</v>
      </c>
    </row>
    <row r="513" spans="1:4" ht="15">
      <c r="A513" s="297" t="s">
        <v>246</v>
      </c>
      <c r="B513" s="341" t="s">
        <v>286</v>
      </c>
      <c r="C513" s="364" t="s">
        <v>882</v>
      </c>
      <c r="D513" s="290">
        <f>LOOKUP(A513,'[2]Hoja1'!$F$2:$F$915,'[2]Hoja1'!$D$2:$D$915)</f>
        <v>147.1752</v>
      </c>
    </row>
    <row r="514" spans="1:4" ht="15">
      <c r="A514" s="297" t="s">
        <v>247</v>
      </c>
      <c r="B514" s="341" t="s">
        <v>1421</v>
      </c>
      <c r="C514" s="364" t="s">
        <v>882</v>
      </c>
      <c r="D514" s="290">
        <f>LOOKUP(A514,'[2]Hoja1'!$F$2:$F$915,'[2]Hoja1'!$D$2:$D$915)</f>
        <v>1.0182</v>
      </c>
    </row>
    <row r="515" spans="1:4" ht="15">
      <c r="A515" s="297" t="s">
        <v>248</v>
      </c>
      <c r="B515" s="341" t="s">
        <v>1422</v>
      </c>
      <c r="C515" s="364" t="s">
        <v>882</v>
      </c>
      <c r="D515" s="290">
        <f>LOOKUP(A515,'[2]Hoja1'!$F$2:$F$915,'[2]Hoja1'!$D$2:$D$915)</f>
        <v>7.3587</v>
      </c>
    </row>
    <row r="516" spans="1:4" ht="15">
      <c r="A516" s="297" t="s">
        <v>249</v>
      </c>
      <c r="B516" s="341" t="s">
        <v>1426</v>
      </c>
      <c r="C516" s="364" t="s">
        <v>882</v>
      </c>
      <c r="D516" s="290">
        <f>LOOKUP(A516,'[2]Hoja1'!$F$2:$F$915,'[2]Hoja1'!$D$2:$D$915)</f>
        <v>0.981</v>
      </c>
    </row>
    <row r="517" spans="1:4" ht="15">
      <c r="A517" s="297" t="s">
        <v>250</v>
      </c>
      <c r="B517" s="341" t="s">
        <v>287</v>
      </c>
      <c r="C517" s="364" t="s">
        <v>882</v>
      </c>
      <c r="D517" s="290">
        <f>LOOKUP(A517,'[2]Hoja1'!$F$2:$F$915,'[2]Hoja1'!$D$2:$D$915)</f>
        <v>1.6421</v>
      </c>
    </row>
    <row r="518" spans="1:4" ht="15">
      <c r="A518" s="297" t="s">
        <v>251</v>
      </c>
      <c r="B518" s="341" t="s">
        <v>1428</v>
      </c>
      <c r="C518" s="364" t="s">
        <v>882</v>
      </c>
      <c r="D518" s="290">
        <f>LOOKUP(A518,'[2]Hoja1'!$F$2:$F$915,'[2]Hoja1'!$D$2:$D$915)</f>
        <v>2.4818</v>
      </c>
    </row>
    <row r="519" spans="1:4" ht="15">
      <c r="A519" s="297" t="s">
        <v>252</v>
      </c>
      <c r="B519" s="341" t="s">
        <v>1430</v>
      </c>
      <c r="C519" s="364" t="s">
        <v>882</v>
      </c>
      <c r="D519" s="290">
        <f>LOOKUP(A519,'[2]Hoja1'!$F$2:$F$915,'[2]Hoja1'!$D$2:$D$915)</f>
        <v>0.8463</v>
      </c>
    </row>
    <row r="520" spans="1:4" ht="15">
      <c r="A520" s="297" t="s">
        <v>253</v>
      </c>
      <c r="B520" s="341" t="s">
        <v>1433</v>
      </c>
      <c r="C520" s="364" t="s">
        <v>882</v>
      </c>
      <c r="D520" s="290">
        <f>LOOKUP(A520,'[2]Hoja1'!$F$2:$F$915,'[2]Hoja1'!$D$2:$D$915)</f>
        <v>4.9636</v>
      </c>
    </row>
    <row r="521" spans="1:4" ht="15">
      <c r="A521" s="297" t="s">
        <v>254</v>
      </c>
      <c r="B521" s="341" t="s">
        <v>288</v>
      </c>
      <c r="C521" s="364" t="s">
        <v>882</v>
      </c>
      <c r="D521" s="290">
        <f>LOOKUP(A521,'[2]Hoja1'!$F$2:$F$915,'[2]Hoja1'!$D$2:$D$915)</f>
        <v>1.8504</v>
      </c>
    </row>
    <row r="522" spans="1:6" ht="15">
      <c r="A522" s="297" t="s">
        <v>1038</v>
      </c>
      <c r="B522" s="355" t="s">
        <v>1037</v>
      </c>
      <c r="C522" s="356" t="s">
        <v>882</v>
      </c>
      <c r="D522" s="290">
        <f>LOOKUP(A522,'[2]Hoja1'!$F$2:$F$915,'[2]Hoja1'!$D$2:$D$915)</f>
        <v>185295.078</v>
      </c>
      <c r="E522" s="354" t="s">
        <v>882</v>
      </c>
      <c r="F522" s="354" t="s">
        <v>1038</v>
      </c>
    </row>
    <row r="523" spans="1:6" ht="15">
      <c r="A523" s="297" t="s">
        <v>1040</v>
      </c>
      <c r="B523" s="355" t="s">
        <v>1039</v>
      </c>
      <c r="C523" s="356" t="s">
        <v>882</v>
      </c>
      <c r="D523" s="290">
        <f>LOOKUP(A523,'[2]Hoja1'!$F$2:$F$915,'[2]Hoja1'!$D$2:$D$915)</f>
        <v>223627.163</v>
      </c>
      <c r="E523" s="354" t="s">
        <v>882</v>
      </c>
      <c r="F523" s="354" t="s">
        <v>1040</v>
      </c>
    </row>
    <row r="524" spans="1:6" ht="15">
      <c r="A524" s="297" t="s">
        <v>1042</v>
      </c>
      <c r="B524" s="355" t="s">
        <v>1041</v>
      </c>
      <c r="C524" s="356" t="s">
        <v>882</v>
      </c>
      <c r="D524" s="290">
        <f>LOOKUP(A524,'[2]Hoja1'!$F$2:$F$915,'[2]Hoja1'!$D$2:$D$915)</f>
        <v>195812.121</v>
      </c>
      <c r="E524" s="354" t="s">
        <v>882</v>
      </c>
      <c r="F524" s="354" t="s">
        <v>1042</v>
      </c>
    </row>
    <row r="525" spans="1:4" ht="15">
      <c r="A525" s="387" t="s">
        <v>569</v>
      </c>
      <c r="B525" s="385" t="s">
        <v>567</v>
      </c>
      <c r="C525" s="175" t="s">
        <v>882</v>
      </c>
      <c r="D525" s="290">
        <v>659.1488</v>
      </c>
    </row>
    <row r="526" spans="1:4" ht="15">
      <c r="A526" s="387" t="s">
        <v>570</v>
      </c>
      <c r="B526" s="385" t="s">
        <v>568</v>
      </c>
      <c r="C526" s="175" t="s">
        <v>882</v>
      </c>
      <c r="D526" s="290">
        <v>719.7025</v>
      </c>
    </row>
    <row r="527" spans="1:5" ht="15">
      <c r="A527" s="388" t="s">
        <v>461</v>
      </c>
      <c r="B527" s="386" t="s">
        <v>460</v>
      </c>
      <c r="C527" s="386" t="s">
        <v>475</v>
      </c>
      <c r="D527" s="290">
        <f>LOOKUP(A527,'[2]Hoja1'!$F$2:$F$915,'[2]Hoja1'!$D$2:$D$915)</f>
        <v>932.63</v>
      </c>
      <c r="E527" s="15"/>
    </row>
    <row r="528" spans="1:5" ht="15">
      <c r="A528" s="388" t="s">
        <v>463</v>
      </c>
      <c r="B528" s="386" t="s">
        <v>462</v>
      </c>
      <c r="C528" s="386" t="s">
        <v>475</v>
      </c>
      <c r="D528" s="290">
        <f>LOOKUP(A528,'[2]Hoja1'!$F$2:$F$915,'[2]Hoja1'!$D$2:$D$915)</f>
        <v>1226.14</v>
      </c>
      <c r="E528" s="15"/>
    </row>
    <row r="529" spans="1:5" ht="15">
      <c r="A529" s="388" t="s">
        <v>465</v>
      </c>
      <c r="B529" s="386" t="s">
        <v>464</v>
      </c>
      <c r="C529" s="386" t="s">
        <v>475</v>
      </c>
      <c r="D529" s="290">
        <f>LOOKUP(A529,'[2]Hoja1'!$F$2:$F$915,'[2]Hoja1'!$D$2:$D$915)</f>
        <v>1358.58</v>
      </c>
      <c r="E529" s="15"/>
    </row>
  </sheetData>
  <sheetProtection/>
  <mergeCells count="3">
    <mergeCell ref="A2:G2"/>
    <mergeCell ref="A1:O1"/>
    <mergeCell ref="A445:D445"/>
  </mergeCells>
  <printOptions/>
  <pageMargins left="0.86" right="0.75" top="0.53" bottom="0.4724409448818898" header="0.58" footer="0.2362204724409449"/>
  <pageSetup horizontalDpi="300" verticalDpi="300" orientation="portrait" paperSize="5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workbookViewId="0" topLeftCell="A1">
      <selection activeCell="B8" sqref="B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1069</v>
      </c>
      <c r="B2" s="8" t="s">
        <v>457</v>
      </c>
      <c r="C2" s="89" t="str">
        <f>Fecha</f>
        <v>JUN/10</v>
      </c>
      <c r="D2" s="57"/>
      <c r="E2" s="57"/>
      <c r="F2" s="77">
        <f>SUM(F4:F16)</f>
        <v>109.6814822</v>
      </c>
      <c r="G2" s="50"/>
    </row>
    <row r="3" spans="1:7" ht="13.5" thickBot="1">
      <c r="A3" s="7" t="s">
        <v>1068</v>
      </c>
      <c r="B3" s="7" t="s">
        <v>456</v>
      </c>
      <c r="C3" s="90" t="s">
        <v>1067</v>
      </c>
      <c r="D3" s="58" t="s">
        <v>898</v>
      </c>
      <c r="E3" s="59"/>
      <c r="F3" s="78"/>
      <c r="G3" s="51" t="s">
        <v>475</v>
      </c>
    </row>
    <row r="4" spans="1:7" ht="13.5" thickTop="1">
      <c r="A4" s="95" t="s">
        <v>1073</v>
      </c>
      <c r="B4" s="9"/>
      <c r="C4" s="10"/>
      <c r="D4" s="65"/>
      <c r="E4" s="65"/>
      <c r="F4" s="83"/>
      <c r="G4" s="10"/>
    </row>
    <row r="5" spans="1:7" ht="12.75">
      <c r="A5" s="11" t="s">
        <v>853</v>
      </c>
      <c r="B5" s="4" t="str">
        <f>VLOOKUP(A5,Insumos,2)</f>
        <v>caño Pead Agua 63mm</v>
      </c>
      <c r="C5" s="6" t="str">
        <f>VLOOKUP(A5,Insumos,3)</f>
        <v>m</v>
      </c>
      <c r="D5" s="65">
        <v>3.954</v>
      </c>
      <c r="E5" s="60">
        <f aca="true" t="shared" si="0" ref="E5:E12">VLOOKUP(A5,Insumos,4)</f>
        <v>14.0413</v>
      </c>
      <c r="F5" s="83">
        <f aca="true" t="shared" si="1" ref="F5:F12">(D5*E5)</f>
        <v>55.5193002</v>
      </c>
      <c r="G5" s="10"/>
    </row>
    <row r="6" spans="1:7" ht="12.75">
      <c r="A6" s="11" t="s">
        <v>855</v>
      </c>
      <c r="B6" s="4" t="str">
        <f aca="true" t="shared" si="2" ref="B6:B12">VLOOKUP(A6,Insumos,2)</f>
        <v>cupla Pead Agua 63mm</v>
      </c>
      <c r="C6" s="6" t="str">
        <f>VLOOKUP(A6,Insumos,3)</f>
        <v>u</v>
      </c>
      <c r="D6" s="65">
        <v>0.142</v>
      </c>
      <c r="E6" s="60">
        <f t="shared" si="0"/>
        <v>30.2066</v>
      </c>
      <c r="F6" s="83">
        <f t="shared" si="1"/>
        <v>4.2893372</v>
      </c>
      <c r="G6" s="10"/>
    </row>
    <row r="7" spans="1:7" ht="12.75">
      <c r="A7" s="11" t="s">
        <v>862</v>
      </c>
      <c r="B7" s="4" t="str">
        <f t="shared" si="2"/>
        <v>válvula esclusa doble brida H°D° 63mm</v>
      </c>
      <c r="C7" s="6" t="str">
        <f aca="true" t="shared" si="3" ref="C7:C12">VLOOKUP(A7,Insumos,3)</f>
        <v>u</v>
      </c>
      <c r="D7" s="65">
        <v>0.01</v>
      </c>
      <c r="E7" s="60">
        <f t="shared" si="0"/>
        <v>640.4959</v>
      </c>
      <c r="F7" s="83">
        <f t="shared" si="1"/>
        <v>6.404959</v>
      </c>
      <c r="G7" s="10"/>
    </row>
    <row r="8" spans="1:7" ht="12.75">
      <c r="A8" s="11" t="s">
        <v>851</v>
      </c>
      <c r="B8" s="4" t="str">
        <f t="shared" si="2"/>
        <v>caño Pead Agua20mm</v>
      </c>
      <c r="C8" s="6" t="str">
        <f t="shared" si="3"/>
        <v>m</v>
      </c>
      <c r="D8" s="65">
        <v>2.2</v>
      </c>
      <c r="E8" s="60">
        <f t="shared" si="0"/>
        <v>2.1074</v>
      </c>
      <c r="F8" s="83">
        <f t="shared" si="1"/>
        <v>4.636280000000001</v>
      </c>
      <c r="G8" s="10"/>
    </row>
    <row r="9" spans="1:7" ht="12.75">
      <c r="A9" s="11" t="s">
        <v>903</v>
      </c>
      <c r="B9" s="4" t="str">
        <f t="shared" si="2"/>
        <v>abrazadera diámetro 63mm con racord de 1/2"</v>
      </c>
      <c r="C9" s="6" t="str">
        <f t="shared" si="3"/>
        <v>u</v>
      </c>
      <c r="D9" s="65">
        <v>0.007</v>
      </c>
      <c r="E9" s="60">
        <f t="shared" si="0"/>
        <v>56.4421</v>
      </c>
      <c r="F9" s="83">
        <f t="shared" si="1"/>
        <v>0.3950947</v>
      </c>
      <c r="G9" s="10"/>
    </row>
    <row r="10" spans="1:7" ht="12.75">
      <c r="A10" s="11" t="s">
        <v>292</v>
      </c>
      <c r="B10" s="4" t="str">
        <f t="shared" si="2"/>
        <v>cemento Portland</v>
      </c>
      <c r="C10" s="6" t="str">
        <f t="shared" si="3"/>
        <v>kg</v>
      </c>
      <c r="D10" s="65">
        <v>1.089</v>
      </c>
      <c r="E10" s="60">
        <f t="shared" si="0"/>
        <v>0.4787</v>
      </c>
      <c r="F10" s="83">
        <f t="shared" si="1"/>
        <v>0.5213043</v>
      </c>
      <c r="G10" s="10"/>
    </row>
    <row r="11" spans="1:7" ht="12.75">
      <c r="A11" s="11" t="s">
        <v>576</v>
      </c>
      <c r="B11" s="4" t="str">
        <f t="shared" si="2"/>
        <v>arena mediana</v>
      </c>
      <c r="C11" s="6" t="str">
        <f t="shared" si="3"/>
        <v>m3</v>
      </c>
      <c r="D11" s="65">
        <v>0.007</v>
      </c>
      <c r="E11" s="60">
        <f t="shared" si="0"/>
        <v>51</v>
      </c>
      <c r="F11" s="83">
        <f t="shared" si="1"/>
        <v>0.357</v>
      </c>
      <c r="G11" s="10"/>
    </row>
    <row r="12" spans="1:7" ht="12.75">
      <c r="A12" s="11" t="s">
        <v>291</v>
      </c>
      <c r="B12" s="4" t="str">
        <f t="shared" si="2"/>
        <v>hierro mejorado de 10 mm.</v>
      </c>
      <c r="C12" s="6" t="str">
        <f t="shared" si="3"/>
        <v>kg</v>
      </c>
      <c r="D12" s="65">
        <v>0.054</v>
      </c>
      <c r="E12" s="60">
        <f t="shared" si="0"/>
        <v>4.1892</v>
      </c>
      <c r="F12" s="83">
        <f t="shared" si="1"/>
        <v>0.22621679999999997</v>
      </c>
      <c r="G12" s="10"/>
    </row>
    <row r="13" spans="1:7" ht="12.75">
      <c r="A13" s="95" t="s">
        <v>1074</v>
      </c>
      <c r="B13" s="9"/>
      <c r="C13" s="10"/>
      <c r="D13" s="65"/>
      <c r="E13" s="65"/>
      <c r="F13" s="83"/>
      <c r="G13" s="10"/>
    </row>
    <row r="14" spans="1:7" ht="12.75">
      <c r="A14" s="11" t="s">
        <v>325</v>
      </c>
      <c r="B14" s="4" t="str">
        <f>VLOOKUP(A14,Insumos,2)</f>
        <v>cuadrilla tipo U.G.A.T.S.</v>
      </c>
      <c r="C14" s="6" t="str">
        <f>VLOOKUP(A14,Insumos,3)</f>
        <v>h</v>
      </c>
      <c r="D14" s="65">
        <v>0.893</v>
      </c>
      <c r="E14" s="60">
        <f>VLOOKUP(A14,Insumos,4)</f>
        <v>25.29</v>
      </c>
      <c r="F14" s="83">
        <f>(D14*E14)</f>
        <v>22.58397</v>
      </c>
      <c r="G14" s="10"/>
    </row>
    <row r="15" spans="1:7" ht="12.75">
      <c r="A15" s="95" t="s">
        <v>1075</v>
      </c>
      <c r="B15" s="4"/>
      <c r="C15" s="10"/>
      <c r="D15" s="65"/>
      <c r="E15" s="65"/>
      <c r="F15" s="83"/>
      <c r="G15" s="10"/>
    </row>
    <row r="16" spans="1:7" ht="12.75">
      <c r="A16" s="11" t="s">
        <v>623</v>
      </c>
      <c r="B16" s="4" t="str">
        <f>VLOOKUP(A16,Insumos,2)</f>
        <v>canasta 3 (retroexcavadora 87 HP)</v>
      </c>
      <c r="C16" s="6" t="str">
        <f>VLOOKUP(A16,Insumos,3)</f>
        <v>h</v>
      </c>
      <c r="D16" s="65">
        <v>0.098</v>
      </c>
      <c r="E16" s="60">
        <f>VLOOKUP(A16,Insumos,4)</f>
        <v>150.49</v>
      </c>
      <c r="F16" s="83">
        <f>(D16*E16)</f>
        <v>14.748020000000002</v>
      </c>
      <c r="G16" s="10"/>
    </row>
    <row r="17" spans="1:6" ht="13.5" thickBot="1">
      <c r="A17" s="3"/>
      <c r="B17" s="4"/>
      <c r="C17" s="6"/>
      <c r="D17" s="60"/>
      <c r="E17" s="60"/>
      <c r="F17" s="79"/>
    </row>
    <row r="18" spans="1:7" ht="13.5" thickTop="1">
      <c r="A18" s="87" t="s">
        <v>1069</v>
      </c>
      <c r="B18" s="8" t="s">
        <v>458</v>
      </c>
      <c r="C18" s="89" t="str">
        <f>Fecha</f>
        <v>JUN/10</v>
      </c>
      <c r="D18" s="57"/>
      <c r="E18" s="57"/>
      <c r="F18" s="77">
        <f>SUM(F20:F30)</f>
        <v>101.31952882</v>
      </c>
      <c r="G18" s="50"/>
    </row>
    <row r="19" spans="1:7" ht="13.5" thickBot="1">
      <c r="A19" s="7" t="s">
        <v>1068</v>
      </c>
      <c r="B19" s="7" t="s">
        <v>456</v>
      </c>
      <c r="C19" s="90" t="s">
        <v>1067</v>
      </c>
      <c r="D19" s="58" t="s">
        <v>725</v>
      </c>
      <c r="E19" s="59"/>
      <c r="F19" s="78"/>
      <c r="G19" s="51" t="s">
        <v>475</v>
      </c>
    </row>
    <row r="20" spans="1:7" ht="13.5" thickTop="1">
      <c r="A20" s="95" t="s">
        <v>1073</v>
      </c>
      <c r="B20" s="9"/>
      <c r="C20" s="10"/>
      <c r="D20" s="65"/>
      <c r="E20" s="65"/>
      <c r="F20" s="83"/>
      <c r="G20" s="10"/>
    </row>
    <row r="21" spans="1:7" ht="12.75">
      <c r="A21" s="11" t="s">
        <v>853</v>
      </c>
      <c r="B21" s="4" t="str">
        <f aca="true" t="shared" si="4" ref="B21:B26">VLOOKUP(A21,Insumos,2)</f>
        <v>caño Pead Agua 63mm</v>
      </c>
      <c r="C21" s="6" t="str">
        <f aca="true" t="shared" si="5" ref="C21:C26">VLOOKUP(A21,Insumos,3)</f>
        <v>m</v>
      </c>
      <c r="D21" s="65">
        <v>3.954</v>
      </c>
      <c r="E21" s="60">
        <f aca="true" t="shared" si="6" ref="E21:E26">VLOOKUP(A21,Insumos,4)</f>
        <v>14.0413</v>
      </c>
      <c r="F21" s="83">
        <f aca="true" t="shared" si="7" ref="F21:F26">(D21*E21)</f>
        <v>55.5193002</v>
      </c>
      <c r="G21" s="10"/>
    </row>
    <row r="22" spans="1:7" ht="12.75">
      <c r="A22" s="11" t="s">
        <v>855</v>
      </c>
      <c r="B22" s="4" t="str">
        <f t="shared" si="4"/>
        <v>cupla Pead Agua 63mm</v>
      </c>
      <c r="C22" s="6" t="str">
        <f t="shared" si="5"/>
        <v>u</v>
      </c>
      <c r="D22" s="65">
        <v>0.142</v>
      </c>
      <c r="E22" s="60">
        <f t="shared" si="6"/>
        <v>30.2066</v>
      </c>
      <c r="F22" s="83">
        <f t="shared" si="7"/>
        <v>4.2893372</v>
      </c>
      <c r="G22" s="10"/>
    </row>
    <row r="23" spans="1:7" ht="12.75">
      <c r="A23" s="11" t="s">
        <v>862</v>
      </c>
      <c r="B23" s="4" t="str">
        <f t="shared" si="4"/>
        <v>válvula esclusa doble brida H°D° 63mm</v>
      </c>
      <c r="C23" s="6" t="str">
        <f t="shared" si="5"/>
        <v>u</v>
      </c>
      <c r="D23" s="65">
        <v>0.0048</v>
      </c>
      <c r="E23" s="60">
        <f t="shared" si="6"/>
        <v>640.4959</v>
      </c>
      <c r="F23" s="83">
        <f t="shared" si="7"/>
        <v>3.07438032</v>
      </c>
      <c r="G23" s="10"/>
    </row>
    <row r="24" spans="1:7" ht="12.75">
      <c r="A24" s="11" t="s">
        <v>292</v>
      </c>
      <c r="B24" s="4" t="str">
        <f t="shared" si="4"/>
        <v>cemento Portland</v>
      </c>
      <c r="C24" s="6" t="str">
        <f t="shared" si="5"/>
        <v>kg</v>
      </c>
      <c r="D24" s="65">
        <v>1.089</v>
      </c>
      <c r="E24" s="60">
        <f t="shared" si="6"/>
        <v>0.4787</v>
      </c>
      <c r="F24" s="83">
        <f t="shared" si="7"/>
        <v>0.5213043</v>
      </c>
      <c r="G24" s="10"/>
    </row>
    <row r="25" spans="1:7" ht="12.75">
      <c r="A25" s="11" t="s">
        <v>576</v>
      </c>
      <c r="B25" s="4" t="str">
        <f t="shared" si="4"/>
        <v>arena mediana</v>
      </c>
      <c r="C25" s="6" t="str">
        <f t="shared" si="5"/>
        <v>m3</v>
      </c>
      <c r="D25" s="65">
        <v>0.007</v>
      </c>
      <c r="E25" s="60">
        <f t="shared" si="6"/>
        <v>51</v>
      </c>
      <c r="F25" s="83">
        <f t="shared" si="7"/>
        <v>0.357</v>
      </c>
      <c r="G25" s="10"/>
    </row>
    <row r="26" spans="1:7" ht="12.75">
      <c r="A26" s="11" t="s">
        <v>291</v>
      </c>
      <c r="B26" s="4" t="str">
        <f t="shared" si="4"/>
        <v>hierro mejorado de 10 mm.</v>
      </c>
      <c r="C26" s="6" t="str">
        <f t="shared" si="5"/>
        <v>kg</v>
      </c>
      <c r="D26" s="65">
        <v>0.054</v>
      </c>
      <c r="E26" s="60">
        <f t="shared" si="6"/>
        <v>4.1892</v>
      </c>
      <c r="F26" s="83">
        <f t="shared" si="7"/>
        <v>0.22621679999999997</v>
      </c>
      <c r="G26" s="10"/>
    </row>
    <row r="27" spans="1:7" ht="12.75">
      <c r="A27" s="95" t="s">
        <v>1074</v>
      </c>
      <c r="B27" s="9"/>
      <c r="C27" s="10"/>
      <c r="D27" s="65"/>
      <c r="E27" s="65"/>
      <c r="F27" s="83"/>
      <c r="G27" s="10"/>
    </row>
    <row r="28" spans="1:8" ht="12.75">
      <c r="A28" s="11" t="s">
        <v>325</v>
      </c>
      <c r="B28" s="4" t="str">
        <f>VLOOKUP(A28,Insumos,2)</f>
        <v>cuadrilla tipo U.G.A.T.S.</v>
      </c>
      <c r="C28" s="6" t="str">
        <f>VLOOKUP(A28,Insumos,3)</f>
        <v>h</v>
      </c>
      <c r="D28" s="65">
        <v>0.893</v>
      </c>
      <c r="E28" s="60">
        <f>VLOOKUP(A28,Insumos,4)</f>
        <v>25.29</v>
      </c>
      <c r="F28" s="83">
        <f>(D28*E28)</f>
        <v>22.58397</v>
      </c>
      <c r="G28" s="10"/>
      <c r="H28" s="1" t="s">
        <v>1264</v>
      </c>
    </row>
    <row r="29" spans="1:7" ht="12.75">
      <c r="A29" s="95" t="s">
        <v>1075</v>
      </c>
      <c r="B29" s="4"/>
      <c r="C29" s="10"/>
      <c r="D29" s="65"/>
      <c r="E29" s="65"/>
      <c r="F29" s="83"/>
      <c r="G29" s="10"/>
    </row>
    <row r="30" spans="1:7" ht="12.75">
      <c r="A30" s="11" t="s">
        <v>623</v>
      </c>
      <c r="B30" s="4" t="str">
        <f>VLOOKUP(A30,Insumos,2)</f>
        <v>canasta 3 (retroexcavadora 87 HP)</v>
      </c>
      <c r="C30" s="6" t="str">
        <f>VLOOKUP(A30,Insumos,3)</f>
        <v>h</v>
      </c>
      <c r="D30" s="65">
        <v>0.098</v>
      </c>
      <c r="E30" s="60">
        <f>VLOOKUP(A30,Insumos,4)</f>
        <v>150.49</v>
      </c>
      <c r="F30" s="83">
        <f>(D30*E30)</f>
        <v>14.748020000000002</v>
      </c>
      <c r="G30" s="10"/>
    </row>
    <row r="31" spans="1:7" ht="13.5" thickBot="1">
      <c r="A31" s="11"/>
      <c r="B31" s="12"/>
      <c r="C31" s="13"/>
      <c r="D31" s="65"/>
      <c r="E31" s="65"/>
      <c r="F31" s="83"/>
      <c r="G31" s="10"/>
    </row>
    <row r="32" spans="1:7" ht="13.5" thickTop="1">
      <c r="A32" s="87" t="s">
        <v>1069</v>
      </c>
      <c r="B32" s="8" t="s">
        <v>1047</v>
      </c>
      <c r="C32" s="89" t="str">
        <f>Fecha</f>
        <v>JUN/10</v>
      </c>
      <c r="D32" s="57"/>
      <c r="E32" s="57"/>
      <c r="F32" s="77">
        <f>SUM(F34:F44)</f>
        <v>35657.744360000004</v>
      </c>
      <c r="G32" s="50"/>
    </row>
    <row r="33" spans="1:7" ht="13.5" thickBot="1">
      <c r="A33" s="7" t="s">
        <v>1068</v>
      </c>
      <c r="B33" s="7" t="s">
        <v>456</v>
      </c>
      <c r="C33" s="90" t="s">
        <v>1067</v>
      </c>
      <c r="D33" s="58" t="s">
        <v>1049</v>
      </c>
      <c r="E33" s="59"/>
      <c r="F33" s="78"/>
      <c r="G33" s="51" t="s">
        <v>1070</v>
      </c>
    </row>
    <row r="34" spans="1:7" ht="13.5" thickTop="1">
      <c r="A34" s="95" t="s">
        <v>1073</v>
      </c>
      <c r="B34" s="9"/>
      <c r="C34" s="10"/>
      <c r="D34" s="65"/>
      <c r="E34" s="65"/>
      <c r="F34" s="83"/>
      <c r="G34" s="10"/>
    </row>
    <row r="35" spans="1:7" ht="12.75">
      <c r="A35" s="11" t="s">
        <v>917</v>
      </c>
      <c r="B35" s="4" t="str">
        <f aca="true" t="shared" si="8" ref="B35:B40">VLOOKUP(A35,Insumos,2)</f>
        <v>cuerpo motorarg CFD 669/30  30H.P.</v>
      </c>
      <c r="C35" s="6" t="str">
        <f aca="true" t="shared" si="9" ref="C35:C40">VLOOKUP(A35,Insumos,3)</f>
        <v>u</v>
      </c>
      <c r="D35" s="65">
        <v>1</v>
      </c>
      <c r="E35" s="60">
        <f aca="true" t="shared" si="10" ref="E35:E40">VLOOKUP(A35,Insumos,4)</f>
        <v>5029.5949</v>
      </c>
      <c r="F35" s="83">
        <f aca="true" t="shared" si="11" ref="F35:F40">(D35*E35)</f>
        <v>5029.5949</v>
      </c>
      <c r="G35" s="10"/>
    </row>
    <row r="36" spans="1:7" ht="12.75">
      <c r="A36" s="11" t="s">
        <v>918</v>
      </c>
      <c r="B36" s="4" t="str">
        <f t="shared" si="8"/>
        <v>motor motorarg S6 R4/30  30 H.P.</v>
      </c>
      <c r="C36" s="6" t="str">
        <f t="shared" si="9"/>
        <v>u</v>
      </c>
      <c r="D36" s="65">
        <v>1</v>
      </c>
      <c r="E36" s="60">
        <f t="shared" si="10"/>
        <v>6183.1131</v>
      </c>
      <c r="F36" s="83">
        <f t="shared" si="11"/>
        <v>6183.1131</v>
      </c>
      <c r="G36" s="10"/>
    </row>
    <row r="37" spans="1:7" ht="12.75">
      <c r="A37" s="11" t="s">
        <v>920</v>
      </c>
      <c r="B37" s="4" t="str">
        <f t="shared" si="8"/>
        <v>arrancador suave WEG SSW-04.60 p/30H.P.</v>
      </c>
      <c r="C37" s="6" t="str">
        <f t="shared" si="9"/>
        <v>u</v>
      </c>
      <c r="D37" s="65">
        <v>1</v>
      </c>
      <c r="E37" s="60">
        <f t="shared" si="10"/>
        <v>2356.595</v>
      </c>
      <c r="F37" s="83">
        <f t="shared" si="11"/>
        <v>2356.595</v>
      </c>
      <c r="G37" s="10"/>
    </row>
    <row r="38" spans="1:7" ht="12.75">
      <c r="A38" s="11" t="s">
        <v>922</v>
      </c>
      <c r="B38" s="4" t="str">
        <f t="shared" si="8"/>
        <v>bomba dosivac milenio 015 1.45 lts/h</v>
      </c>
      <c r="C38" s="6" t="str">
        <f t="shared" si="9"/>
        <v>u</v>
      </c>
      <c r="D38" s="65">
        <v>1</v>
      </c>
      <c r="E38" s="60">
        <f t="shared" si="10"/>
        <v>970.876</v>
      </c>
      <c r="F38" s="83">
        <f t="shared" si="11"/>
        <v>970.876</v>
      </c>
      <c r="G38" s="10"/>
    </row>
    <row r="39" spans="1:7" ht="12.75">
      <c r="A39" s="11" t="s">
        <v>924</v>
      </c>
      <c r="B39" s="4" t="str">
        <f t="shared" si="8"/>
        <v>cable pirelli sintenax viper 3x35</v>
      </c>
      <c r="C39" s="6" t="str">
        <f t="shared" si="9"/>
        <v>m</v>
      </c>
      <c r="D39" s="65">
        <v>120</v>
      </c>
      <c r="E39" s="60">
        <f t="shared" si="10"/>
        <v>70.1983</v>
      </c>
      <c r="F39" s="83">
        <f t="shared" si="11"/>
        <v>8423.796</v>
      </c>
      <c r="G39" s="10"/>
    </row>
    <row r="40" spans="1:7" ht="12.75">
      <c r="A40" s="11" t="s">
        <v>926</v>
      </c>
      <c r="B40" s="4" t="str">
        <f t="shared" si="8"/>
        <v>caño H°G° RyC 4"</v>
      </c>
      <c r="C40" s="6" t="str">
        <f t="shared" si="9"/>
        <v>m</v>
      </c>
      <c r="D40" s="65">
        <f>8*6.4</f>
        <v>51.2</v>
      </c>
      <c r="E40" s="60">
        <f t="shared" si="10"/>
        <v>185.9078</v>
      </c>
      <c r="F40" s="83">
        <f t="shared" si="11"/>
        <v>9518.479360000001</v>
      </c>
      <c r="G40" s="10"/>
    </row>
    <row r="41" spans="1:7" ht="12.75">
      <c r="A41" s="95" t="s">
        <v>1074</v>
      </c>
      <c r="B41" s="9"/>
      <c r="C41" s="10"/>
      <c r="D41" s="65"/>
      <c r="E41" s="65"/>
      <c r="F41" s="83"/>
      <c r="G41" s="10"/>
    </row>
    <row r="42" spans="1:7" ht="12.75">
      <c r="A42" s="11" t="s">
        <v>325</v>
      </c>
      <c r="B42" s="4" t="str">
        <f>VLOOKUP(A42,Insumos,2)</f>
        <v>cuadrilla tipo U.G.A.T.S.</v>
      </c>
      <c r="C42" s="6" t="str">
        <f>VLOOKUP(A42,Insumos,3)</f>
        <v>h</v>
      </c>
      <c r="D42" s="65">
        <f>18*4</f>
        <v>72</v>
      </c>
      <c r="E42" s="60">
        <f>VLOOKUP(A42,Insumos,4)</f>
        <v>25.29</v>
      </c>
      <c r="F42" s="83">
        <f>(D42*E42)</f>
        <v>1820.8799999999999</v>
      </c>
      <c r="G42" s="10"/>
    </row>
    <row r="43" spans="1:7" ht="12.75">
      <c r="A43" s="95" t="s">
        <v>1075</v>
      </c>
      <c r="B43" s="4"/>
      <c r="C43" s="10"/>
      <c r="D43" s="65"/>
      <c r="E43" s="65"/>
      <c r="F43" s="83"/>
      <c r="G43" s="10"/>
    </row>
    <row r="44" spans="1:7" ht="12.75">
      <c r="A44" s="11" t="s">
        <v>623</v>
      </c>
      <c r="B44" s="4" t="str">
        <f>VLOOKUP(A44,Insumos,2)</f>
        <v>canasta 3 (retroexcavadora 87 HP)</v>
      </c>
      <c r="C44" s="6" t="str">
        <f>VLOOKUP(A44,Insumos,3)</f>
        <v>h</v>
      </c>
      <c r="D44" s="65">
        <v>9</v>
      </c>
      <c r="E44" s="60">
        <f>VLOOKUP(A44,Insumos,4)</f>
        <v>150.49</v>
      </c>
      <c r="F44" s="83">
        <f>(D44*E44)</f>
        <v>1354.41</v>
      </c>
      <c r="G44" s="10"/>
    </row>
  </sheetData>
  <sheetProtection password="DF1D" sheet="1" objects="1" scenarios="1"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workbookViewId="0" topLeftCell="A1">
      <selection activeCell="H24" sqref="H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61"/>
      <c r="E1" s="61"/>
      <c r="F1" s="80"/>
      <c r="G1" s="10"/>
    </row>
    <row r="2" spans="1:7" ht="13.5" thickTop="1">
      <c r="A2" s="86" t="s">
        <v>1069</v>
      </c>
      <c r="B2" s="8" t="s">
        <v>467</v>
      </c>
      <c r="C2" s="91" t="str">
        <f>Fecha</f>
        <v>JUN/10</v>
      </c>
      <c r="D2" s="62"/>
      <c r="E2" s="62"/>
      <c r="F2" s="77">
        <f>SUM(F4:F15)</f>
        <v>209.0997923</v>
      </c>
      <c r="G2" s="52"/>
    </row>
    <row r="3" spans="1:7" ht="13.5" thickBot="1">
      <c r="A3" s="14" t="s">
        <v>1068</v>
      </c>
      <c r="B3" s="14" t="s">
        <v>466</v>
      </c>
      <c r="C3" s="92" t="s">
        <v>1067</v>
      </c>
      <c r="D3" s="63" t="s">
        <v>562</v>
      </c>
      <c r="E3" s="64"/>
      <c r="F3" s="82"/>
      <c r="G3" s="51" t="s">
        <v>475</v>
      </c>
    </row>
    <row r="4" spans="1:7" ht="13.5" thickTop="1">
      <c r="A4" s="95" t="s">
        <v>1073</v>
      </c>
      <c r="B4" s="9"/>
      <c r="C4" s="10"/>
      <c r="D4" s="65"/>
      <c r="E4" s="65"/>
      <c r="F4" s="83"/>
      <c r="G4" s="10"/>
    </row>
    <row r="5" spans="1:7" ht="12.75">
      <c r="A5" s="11" t="s">
        <v>904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65">
        <v>1.56</v>
      </c>
      <c r="E5" s="105">
        <f>VLOOKUP(A5,'IN-06-10'!$A$5:$D$440,4)</f>
        <v>73.99</v>
      </c>
      <c r="F5" s="83">
        <f aca="true" t="shared" si="2" ref="F5:F11">(D5*E5)</f>
        <v>115.42439999999999</v>
      </c>
      <c r="G5" s="10"/>
    </row>
    <row r="6" spans="1:7" ht="12.75">
      <c r="A6" s="11" t="s">
        <v>330</v>
      </c>
      <c r="B6" s="4" t="str">
        <f>VLOOKUP(A6,'IN-06-10'!$A$5:$D$440,2)</f>
        <v>caño PVC 3.2 p/desague cloacal 0.110 x 4 m.</v>
      </c>
      <c r="C6" s="4" t="str">
        <f>VLOOKUP(A6,'IN-06-10'!$A$5:$D$440,3)</f>
        <v>m</v>
      </c>
      <c r="D6" s="65">
        <v>0.7</v>
      </c>
      <c r="E6" s="105">
        <f>VLOOKUP(A6,'IN-06-10'!$A$5:$D$440,4)</f>
        <v>26.0432</v>
      </c>
      <c r="F6" s="83">
        <f t="shared" si="2"/>
        <v>18.23024</v>
      </c>
      <c r="G6" s="10"/>
    </row>
    <row r="7" spans="1:7" ht="12.75">
      <c r="A7" s="11" t="s">
        <v>776</v>
      </c>
      <c r="B7" s="4" t="str">
        <f>VLOOKUP(A7,'IN-06-10'!$A$5:$D$440,2)</f>
        <v>ramal Y PVC Cloacal d=160x110mm</v>
      </c>
      <c r="C7" s="4" t="str">
        <f>VLOOKUP(A7,'IN-06-10'!$A$5:$D$440,3)</f>
        <v>u</v>
      </c>
      <c r="D7" s="65">
        <v>0.166</v>
      </c>
      <c r="E7" s="105">
        <f>VLOOKUP(A7,'IN-06-10'!$A$5:$D$440,4)</f>
        <v>48.8043</v>
      </c>
      <c r="F7" s="83">
        <f t="shared" si="2"/>
        <v>8.1015138</v>
      </c>
      <c r="G7" s="10"/>
    </row>
    <row r="8" spans="1:7" ht="12.75">
      <c r="A8" s="11" t="s">
        <v>849</v>
      </c>
      <c r="B8" s="4" t="str">
        <f t="shared" si="0"/>
        <v>marco y tapa H°D° 85/90Kg. Sist. Abisagrado</v>
      </c>
      <c r="C8" s="6" t="str">
        <f t="shared" si="1"/>
        <v>u</v>
      </c>
      <c r="D8" s="65">
        <v>0.01</v>
      </c>
      <c r="E8" s="60">
        <f>VLOOKUP(A8,Insumos,4)</f>
        <v>747.9339</v>
      </c>
      <c r="F8" s="83">
        <f t="shared" si="2"/>
        <v>7.479339</v>
      </c>
      <c r="G8" s="10"/>
    </row>
    <row r="9" spans="1:7" ht="12.75">
      <c r="A9" s="11" t="s">
        <v>292</v>
      </c>
      <c r="B9" s="4" t="str">
        <f t="shared" si="0"/>
        <v>cemento Portland</v>
      </c>
      <c r="C9" s="6" t="str">
        <f t="shared" si="1"/>
        <v>kg</v>
      </c>
      <c r="D9" s="65">
        <v>8.473</v>
      </c>
      <c r="E9" s="105">
        <f>VLOOKUP(A9,'IN-06-10'!$A$5:$D$440,4)</f>
        <v>0.4787</v>
      </c>
      <c r="F9" s="83">
        <f t="shared" si="2"/>
        <v>4.0560251</v>
      </c>
      <c r="G9" s="10"/>
    </row>
    <row r="10" spans="1:7" ht="12.75">
      <c r="A10" s="11" t="s">
        <v>304</v>
      </c>
      <c r="B10" s="4" t="str">
        <f t="shared" si="0"/>
        <v>ripiosa</v>
      </c>
      <c r="C10" s="6" t="str">
        <f t="shared" si="1"/>
        <v>m3</v>
      </c>
      <c r="D10" s="65">
        <v>0.032</v>
      </c>
      <c r="E10" s="105">
        <f>VLOOKUP(A10,'IN-06-10'!$A$5:$D$440,4)</f>
        <v>48</v>
      </c>
      <c r="F10" s="83">
        <f t="shared" si="2"/>
        <v>1.536</v>
      </c>
      <c r="G10" s="10"/>
    </row>
    <row r="11" spans="1:7" ht="12.75">
      <c r="A11" s="11" t="s">
        <v>291</v>
      </c>
      <c r="B11" s="4" t="str">
        <f t="shared" si="0"/>
        <v>hierro mejorado de 10 mm.</v>
      </c>
      <c r="C11" s="6" t="str">
        <f t="shared" si="1"/>
        <v>kg</v>
      </c>
      <c r="D11" s="65">
        <v>0.657</v>
      </c>
      <c r="E11" s="105">
        <f>VLOOKUP(A11,'IN-06-10'!$A$5:$D$440,4)</f>
        <v>4.1892</v>
      </c>
      <c r="F11" s="83">
        <f t="shared" si="2"/>
        <v>2.7523044</v>
      </c>
      <c r="G11" s="10"/>
    </row>
    <row r="12" spans="1:7" ht="12.75">
      <c r="A12" s="95" t="s">
        <v>1074</v>
      </c>
      <c r="B12" s="9"/>
      <c r="C12" s="10"/>
      <c r="D12" s="65"/>
      <c r="E12" s="60"/>
      <c r="F12" s="83"/>
      <c r="G12" s="10"/>
    </row>
    <row r="13" spans="1:7" ht="12.75">
      <c r="A13" s="11" t="s">
        <v>325</v>
      </c>
      <c r="B13" s="4" t="str">
        <f>VLOOKUP(A13,Insumos,2)</f>
        <v>cuadrilla tipo U.G.A.T.S.</v>
      </c>
      <c r="C13" s="6" t="str">
        <f>VLOOKUP(A13,Insumos,3)</f>
        <v>h</v>
      </c>
      <c r="D13" s="65">
        <v>1.335</v>
      </c>
      <c r="E13" s="60">
        <f>VLOOKUP(A13,Insumos,4)</f>
        <v>25.29</v>
      </c>
      <c r="F13" s="83">
        <f>(D13*E13)</f>
        <v>33.76215</v>
      </c>
      <c r="G13" s="10"/>
    </row>
    <row r="14" spans="1:7" ht="12.75">
      <c r="A14" s="95" t="s">
        <v>1075</v>
      </c>
      <c r="B14" s="9"/>
      <c r="C14" s="10"/>
      <c r="D14" s="65"/>
      <c r="E14" s="65"/>
      <c r="F14" s="83"/>
      <c r="G14" s="10"/>
    </row>
    <row r="15" spans="1:7" ht="12.75">
      <c r="A15" s="11" t="s">
        <v>623</v>
      </c>
      <c r="B15" s="4" t="str">
        <f>VLOOKUP(A15,Insumos,2)</f>
        <v>canasta 3 (retroexcavadora 87 HP)</v>
      </c>
      <c r="C15" s="6" t="str">
        <f>VLOOKUP(A15,Insumos,3)</f>
        <v>h</v>
      </c>
      <c r="D15" s="65">
        <v>0.118</v>
      </c>
      <c r="E15" s="60">
        <f>VLOOKUP(A15,Insumos,4)</f>
        <v>150.49</v>
      </c>
      <c r="F15" s="83">
        <f>(D15*E15)</f>
        <v>17.75782</v>
      </c>
      <c r="G15" s="10"/>
    </row>
    <row r="16" spans="1:7" ht="13.5" thickBot="1">
      <c r="A16" s="11"/>
      <c r="B16" s="4"/>
      <c r="C16" s="6"/>
      <c r="D16" s="65"/>
      <c r="E16" s="60"/>
      <c r="F16" s="83"/>
      <c r="G16" s="10"/>
    </row>
    <row r="17" spans="1:7" ht="13.5" thickTop="1">
      <c r="A17" s="86" t="s">
        <v>1069</v>
      </c>
      <c r="B17" s="8" t="s">
        <v>899</v>
      </c>
      <c r="C17" s="91" t="str">
        <f>Fecha</f>
        <v>JUN/10</v>
      </c>
      <c r="D17" s="62"/>
      <c r="E17" s="62"/>
      <c r="F17" s="77">
        <f>SUM(F19:F28)</f>
        <v>179.4803385</v>
      </c>
      <c r="G17" s="52"/>
    </row>
    <row r="18" spans="1:7" ht="13.5" thickBot="1">
      <c r="A18" s="14" t="s">
        <v>1068</v>
      </c>
      <c r="B18" s="14" t="s">
        <v>466</v>
      </c>
      <c r="C18" s="92" t="s">
        <v>1067</v>
      </c>
      <c r="D18" s="63" t="s">
        <v>949</v>
      </c>
      <c r="E18" s="64"/>
      <c r="F18" s="82"/>
      <c r="G18" s="51" t="s">
        <v>475</v>
      </c>
    </row>
    <row r="19" spans="1:7" ht="13.5" thickTop="1">
      <c r="A19" s="95" t="s">
        <v>1073</v>
      </c>
      <c r="B19" s="9"/>
      <c r="C19" s="10"/>
      <c r="D19" s="65"/>
      <c r="E19" s="65"/>
      <c r="F19" s="83"/>
      <c r="G19" s="10"/>
    </row>
    <row r="20" spans="1:7" ht="12.75">
      <c r="A20" s="11" t="s">
        <v>904</v>
      </c>
      <c r="B20" s="4" t="str">
        <f>VLOOKUP(A20,Insumos,2)</f>
        <v>caño PVC Cloacal JE 160mm</v>
      </c>
      <c r="C20" s="6" t="str">
        <f>VLOOKUP(A20,Insumos,3)</f>
        <v>m</v>
      </c>
      <c r="D20" s="65">
        <v>1.56</v>
      </c>
      <c r="E20" s="60">
        <f>VLOOKUP(A20,Insumos,4)</f>
        <v>73.99</v>
      </c>
      <c r="F20" s="83">
        <f>(D20*E20)</f>
        <v>115.42439999999999</v>
      </c>
      <c r="G20" s="10"/>
    </row>
    <row r="21" spans="1:7" ht="12.75">
      <c r="A21" s="11" t="s">
        <v>849</v>
      </c>
      <c r="B21" s="4" t="str">
        <f>VLOOKUP(A21,Insumos,2)</f>
        <v>marco y tapa H°D° 85/90Kg. Sist. Abisagrado</v>
      </c>
      <c r="C21" s="6" t="str">
        <f>VLOOKUP(A21,Insumos,3)</f>
        <v>u</v>
      </c>
      <c r="D21" s="65">
        <v>0.01</v>
      </c>
      <c r="E21" s="60">
        <f>VLOOKUP(A21,Insumos,4)</f>
        <v>747.9339</v>
      </c>
      <c r="F21" s="83">
        <f>(D21*E21)</f>
        <v>7.479339</v>
      </c>
      <c r="G21" s="10"/>
    </row>
    <row r="22" spans="1:7" ht="12.75">
      <c r="A22" s="11" t="s">
        <v>292</v>
      </c>
      <c r="B22" s="4" t="str">
        <f>VLOOKUP(A22,Insumos,2)</f>
        <v>cemento Portland</v>
      </c>
      <c r="C22" s="6" t="str">
        <f>VLOOKUP(A22,Insumos,3)</f>
        <v>kg</v>
      </c>
      <c r="D22" s="65">
        <v>8.473</v>
      </c>
      <c r="E22" s="60">
        <f>VLOOKUP(A22,Insumos,4)</f>
        <v>0.4787</v>
      </c>
      <c r="F22" s="83">
        <f>(D22*E22)</f>
        <v>4.0560251</v>
      </c>
      <c r="G22" s="10"/>
    </row>
    <row r="23" spans="1:7" ht="12.75">
      <c r="A23" s="11" t="s">
        <v>304</v>
      </c>
      <c r="B23" s="4" t="str">
        <f>VLOOKUP(A23,Insumos,2)</f>
        <v>ripiosa</v>
      </c>
      <c r="C23" s="6" t="str">
        <f>VLOOKUP(A23,Insumos,3)</f>
        <v>m3</v>
      </c>
      <c r="D23" s="65">
        <v>0.032</v>
      </c>
      <c r="E23" s="60">
        <f>VLOOKUP(A23,Insumos,4)</f>
        <v>48</v>
      </c>
      <c r="F23" s="83">
        <f>(D23*E23)</f>
        <v>1.536</v>
      </c>
      <c r="G23" s="10"/>
    </row>
    <row r="24" spans="1:7" ht="12.75">
      <c r="A24" s="11" t="s">
        <v>291</v>
      </c>
      <c r="B24" s="4" t="str">
        <f>VLOOKUP(A24,Insumos,2)</f>
        <v>hierro mejorado de 10 mm.</v>
      </c>
      <c r="C24" s="6" t="str">
        <f>VLOOKUP(A24,Insumos,3)</f>
        <v>kg</v>
      </c>
      <c r="D24" s="65">
        <v>0.657</v>
      </c>
      <c r="E24" s="60">
        <f>VLOOKUP(A24,Insumos,4)</f>
        <v>4.1892</v>
      </c>
      <c r="F24" s="83">
        <f>(D24*E24)</f>
        <v>2.7523044</v>
      </c>
      <c r="G24" s="10"/>
    </row>
    <row r="25" spans="1:7" ht="12.75">
      <c r="A25" s="95" t="s">
        <v>1074</v>
      </c>
      <c r="B25" s="9"/>
      <c r="C25" s="10"/>
      <c r="D25" s="65"/>
      <c r="E25" s="60"/>
      <c r="F25" s="83"/>
      <c r="G25" s="10"/>
    </row>
    <row r="26" spans="1:7" ht="12.75">
      <c r="A26" s="11" t="s">
        <v>325</v>
      </c>
      <c r="B26" s="4" t="str">
        <f>VLOOKUP(A26,Insumos,2)</f>
        <v>cuadrilla tipo U.G.A.T.S.</v>
      </c>
      <c r="C26" s="6" t="str">
        <f>VLOOKUP(A26,Insumos,3)</f>
        <v>h</v>
      </c>
      <c r="D26" s="65">
        <v>1.205</v>
      </c>
      <c r="E26" s="60">
        <f>VLOOKUP(A26,Insumos,4)</f>
        <v>25.29</v>
      </c>
      <c r="F26" s="83">
        <f>(D26*E26)</f>
        <v>30.47445</v>
      </c>
      <c r="G26" s="10"/>
    </row>
    <row r="27" spans="1:7" ht="12.75">
      <c r="A27" s="95" t="s">
        <v>1075</v>
      </c>
      <c r="B27" s="9"/>
      <c r="C27" s="10"/>
      <c r="D27" s="65"/>
      <c r="E27" s="65"/>
      <c r="F27" s="83"/>
      <c r="G27" s="10"/>
    </row>
    <row r="28" spans="1:7" ht="12.75">
      <c r="A28" s="11" t="s">
        <v>623</v>
      </c>
      <c r="B28" s="4" t="str">
        <f>VLOOKUP(A28,Insumos,2)</f>
        <v>canasta 3 (retroexcavadora 87 HP)</v>
      </c>
      <c r="C28" s="6" t="str">
        <f>VLOOKUP(A28,Insumos,3)</f>
        <v>h</v>
      </c>
      <c r="D28" s="65">
        <v>0.118</v>
      </c>
      <c r="E28" s="60">
        <f>VLOOKUP(A28,Insumos,4)</f>
        <v>150.49</v>
      </c>
      <c r="F28" s="83">
        <f>(D28*E28)</f>
        <v>17.75782</v>
      </c>
      <c r="G28" s="10"/>
    </row>
    <row r="29" spans="1:7" ht="12.75">
      <c r="A29" s="11"/>
      <c r="B29" s="4"/>
      <c r="C29" s="6"/>
      <c r="D29" s="65"/>
      <c r="E29" s="60"/>
      <c r="F29" s="83"/>
      <c r="G29" s="10"/>
    </row>
    <row r="30" spans="1:7" ht="12.75">
      <c r="A30" s="11"/>
      <c r="B30" s="4"/>
      <c r="C30" s="6"/>
      <c r="D30" s="65"/>
      <c r="E30" s="60"/>
      <c r="F30" s="83"/>
      <c r="G30" s="10"/>
    </row>
    <row r="31" spans="1:7" ht="12.75">
      <c r="A31" s="11"/>
      <c r="B31" s="4"/>
      <c r="C31" s="6"/>
      <c r="D31" s="65"/>
      <c r="E31" s="60"/>
      <c r="F31" s="83"/>
      <c r="G31" s="10"/>
    </row>
    <row r="32" spans="1:7" ht="12.75">
      <c r="A32" s="11"/>
      <c r="B32" s="4"/>
      <c r="C32" s="6"/>
      <c r="D32" s="65"/>
      <c r="E32" s="60"/>
      <c r="F32" s="83"/>
      <c r="G32" s="10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workbookViewId="0" topLeftCell="A1">
      <selection activeCell="B12" sqref="B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65"/>
      <c r="E1" s="60"/>
      <c r="F1" s="83"/>
      <c r="G1" s="10"/>
    </row>
    <row r="2" spans="1:7" ht="13.5" thickTop="1">
      <c r="A2" s="86" t="s">
        <v>1069</v>
      </c>
      <c r="B2" s="8" t="s">
        <v>470</v>
      </c>
      <c r="C2" s="91" t="str">
        <f>Fecha</f>
        <v>JUN/10</v>
      </c>
      <c r="D2" s="62"/>
      <c r="E2" s="62"/>
      <c r="F2" s="77">
        <f>SUM(F4:F11)</f>
        <v>70.7892086</v>
      </c>
      <c r="G2" s="52"/>
    </row>
    <row r="3" spans="1:7" ht="13.5" thickBot="1">
      <c r="A3" s="14" t="s">
        <v>1068</v>
      </c>
      <c r="B3" s="14" t="s">
        <v>468</v>
      </c>
      <c r="C3" s="92" t="s">
        <v>1067</v>
      </c>
      <c r="D3" s="63" t="s">
        <v>580</v>
      </c>
      <c r="E3" s="64"/>
      <c r="F3" s="82"/>
      <c r="G3" s="51" t="s">
        <v>475</v>
      </c>
    </row>
    <row r="4" spans="1:7" ht="13.5" thickTop="1">
      <c r="A4" s="95" t="s">
        <v>1073</v>
      </c>
      <c r="B4" s="9"/>
      <c r="C4" s="22"/>
      <c r="D4" s="73"/>
      <c r="E4" s="65"/>
      <c r="F4" s="83"/>
      <c r="G4" s="10"/>
    </row>
    <row r="5" spans="1:7" ht="12.75">
      <c r="A5" s="11" t="s">
        <v>850</v>
      </c>
      <c r="B5" s="4" t="str">
        <f>VLOOKUP(A5,Insumos,2)</f>
        <v>tubo Pead Gas 50mm 4bar </v>
      </c>
      <c r="C5" s="4" t="str">
        <f>VLOOKUP(A5,'IN-06-10'!$A$5:$D$440,3)</f>
        <v>m</v>
      </c>
      <c r="D5" s="65">
        <v>1.8</v>
      </c>
      <c r="E5" s="105">
        <f>VLOOKUP(A5,'IN-06-10'!$A$5:$D$440,4)</f>
        <v>11.3719</v>
      </c>
      <c r="F5" s="83">
        <f>(D5*E5)</f>
        <v>20.46942</v>
      </c>
      <c r="G5" s="10"/>
    </row>
    <row r="6" spans="1:7" ht="12.75">
      <c r="A6" s="11" t="s">
        <v>900</v>
      </c>
      <c r="B6" s="4" t="str">
        <f>VLOOKUP(A6,Insumos,2)</f>
        <v>cupla E/F Gas PE80 50mm</v>
      </c>
      <c r="C6" s="4" t="str">
        <f>VLOOKUP(A6,'IN-06-10'!$A$5:$D$440,3)</f>
        <v>u</v>
      </c>
      <c r="D6" s="65">
        <v>0.16</v>
      </c>
      <c r="E6" s="105">
        <f>VLOOKUP(A6,'IN-06-10'!$A$5:$D$440,4)</f>
        <v>30.2066</v>
      </c>
      <c r="F6" s="83">
        <f>(D6*E6)</f>
        <v>4.833056</v>
      </c>
      <c r="G6" s="10"/>
    </row>
    <row r="7" spans="1:7" ht="12.75">
      <c r="A7" s="11" t="s">
        <v>860</v>
      </c>
      <c r="B7" s="4" t="str">
        <f>VLOOKUP(A7,Insumos,2)</f>
        <v>toma Servicio Gas E/F 63x25mm</v>
      </c>
      <c r="C7" s="4" t="str">
        <f>VLOOKUP(A7,'IN-06-10'!$A$5:$D$440,3)</f>
        <v>u</v>
      </c>
      <c r="D7" s="65">
        <v>0.113</v>
      </c>
      <c r="E7" s="105">
        <f>VLOOKUP(A7,'IN-06-10'!$A$5:$D$440,4)</f>
        <v>63.5702</v>
      </c>
      <c r="F7" s="83">
        <f>(D7*E7)</f>
        <v>7.183432600000001</v>
      </c>
      <c r="G7" s="10"/>
    </row>
    <row r="8" spans="1:7" ht="12.75">
      <c r="A8" s="95" t="s">
        <v>1074</v>
      </c>
      <c r="B8" s="9"/>
      <c r="C8" s="10"/>
      <c r="D8" s="65"/>
      <c r="E8" s="65"/>
      <c r="F8" s="83"/>
      <c r="G8" s="10"/>
    </row>
    <row r="9" spans="1:7" ht="12.75">
      <c r="A9" s="11" t="s">
        <v>325</v>
      </c>
      <c r="B9" s="4" t="str">
        <f>VLOOKUP(A9,Insumos,2)</f>
        <v>cuadrilla tipo U.G.A.T.S.</v>
      </c>
      <c r="C9" s="6" t="str">
        <f>VLOOKUP(A9,Insumos,3)</f>
        <v>h</v>
      </c>
      <c r="D9" s="65">
        <v>0.86</v>
      </c>
      <c r="E9" s="60">
        <f>VLOOKUP(A9,Insumos,4)</f>
        <v>25.29</v>
      </c>
      <c r="F9" s="83">
        <f>(D9*E9)</f>
        <v>21.749399999999998</v>
      </c>
      <c r="G9" s="10"/>
    </row>
    <row r="10" spans="1:7" ht="12.75">
      <c r="A10" s="95" t="s">
        <v>1075</v>
      </c>
      <c r="B10" s="9"/>
      <c r="C10" s="10"/>
      <c r="D10" s="65"/>
      <c r="E10" s="65"/>
      <c r="F10" s="83"/>
      <c r="G10" s="10"/>
    </row>
    <row r="11" spans="1:7" ht="12.75">
      <c r="A11" s="11" t="s">
        <v>623</v>
      </c>
      <c r="B11" s="4" t="str">
        <f>VLOOKUP(A11,Insumos,2)</f>
        <v>canasta 3 (retroexcavadora 87 HP)</v>
      </c>
      <c r="C11" s="6" t="str">
        <f>VLOOKUP(A11,Insumos,3)</f>
        <v>h</v>
      </c>
      <c r="D11" s="65">
        <v>0.11</v>
      </c>
      <c r="E11" s="60">
        <f>VLOOKUP(A11,Insumos,4)</f>
        <v>150.49</v>
      </c>
      <c r="F11" s="83">
        <f>(D11*E11)</f>
        <v>16.553900000000002</v>
      </c>
      <c r="G11" s="10"/>
    </row>
    <row r="12" spans="1:7" ht="12.75">
      <c r="A12" s="9"/>
      <c r="B12" s="9"/>
      <c r="C12" s="10"/>
      <c r="D12" s="61"/>
      <c r="E12" s="61"/>
      <c r="F12" s="80"/>
      <c r="G12" s="10"/>
    </row>
    <row r="24" spans="1:7" ht="12.75">
      <c r="A24" s="11"/>
      <c r="B24" s="12"/>
      <c r="C24" s="13"/>
      <c r="D24" s="65"/>
      <c r="E24" s="65"/>
      <c r="F24" s="83"/>
      <c r="G24" s="10"/>
    </row>
    <row r="25" spans="1:7" ht="12.75">
      <c r="A25" s="9"/>
      <c r="B25" s="9"/>
      <c r="C25" s="10"/>
      <c r="D25" s="61"/>
      <c r="E25" s="61"/>
      <c r="F25" s="80"/>
      <c r="G25" s="10"/>
    </row>
    <row r="26" spans="1:7" ht="12.75">
      <c r="A26" s="11"/>
      <c r="B26" s="12"/>
      <c r="C26" s="13"/>
      <c r="D26" s="65"/>
      <c r="E26" s="65"/>
      <c r="F26" s="83"/>
      <c r="G26" s="10"/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workbookViewId="0" topLeftCell="A1">
      <selection activeCell="A10" sqref="A1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8" t="s">
        <v>1069</v>
      </c>
      <c r="B2" s="42" t="s">
        <v>473</v>
      </c>
      <c r="C2" s="93" t="str">
        <f>Fecha</f>
        <v>JUN/10</v>
      </c>
      <c r="D2" s="66"/>
      <c r="E2" s="66"/>
      <c r="F2" s="84">
        <f>SUM(F5:F18)</f>
        <v>74312.70980299999</v>
      </c>
      <c r="G2" s="54"/>
    </row>
    <row r="3" spans="1:7" ht="13.5" thickBot="1">
      <c r="A3" s="43" t="s">
        <v>1068</v>
      </c>
      <c r="B3" s="44" t="s">
        <v>986</v>
      </c>
      <c r="C3" s="44" t="s">
        <v>1067</v>
      </c>
      <c r="D3" s="67" t="s">
        <v>987</v>
      </c>
      <c r="E3" s="68"/>
      <c r="F3" s="85"/>
      <c r="G3" s="55" t="s">
        <v>882</v>
      </c>
    </row>
    <row r="4" spans="1:7" ht="13.5" thickTop="1">
      <c r="A4" s="95" t="s">
        <v>1073</v>
      </c>
      <c r="B4" s="4"/>
      <c r="C4" s="6"/>
      <c r="D4" s="65"/>
      <c r="E4" s="60"/>
      <c r="F4" s="83"/>
      <c r="G4" s="10"/>
    </row>
    <row r="5" spans="1:7" ht="12.75">
      <c r="A5" s="11" t="s">
        <v>1005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9">
        <v>2</v>
      </c>
      <c r="E5" s="70">
        <f aca="true" t="shared" si="2" ref="E5:E14">VLOOKUP(A5,Insumos,4)</f>
        <v>1271.92</v>
      </c>
      <c r="F5" s="83">
        <f aca="true" t="shared" si="3" ref="F5:F10">(D5*E5)</f>
        <v>2543.84</v>
      </c>
      <c r="G5" s="10"/>
    </row>
    <row r="6" spans="1:7" ht="12.75">
      <c r="A6" s="11" t="s">
        <v>1010</v>
      </c>
      <c r="B6" s="4" t="str">
        <f t="shared" si="0"/>
        <v>Descargador óxido de zinc con desligador </v>
      </c>
      <c r="C6" s="6" t="str">
        <f t="shared" si="1"/>
        <v>u</v>
      </c>
      <c r="D6" s="69">
        <v>3.891</v>
      </c>
      <c r="E6" s="70">
        <f t="shared" si="2"/>
        <v>490.91</v>
      </c>
      <c r="F6" s="83">
        <f t="shared" si="3"/>
        <v>1910.13081</v>
      </c>
      <c r="G6" s="10"/>
    </row>
    <row r="7" spans="1:7" ht="12.75">
      <c r="A7" s="11" t="s">
        <v>1011</v>
      </c>
      <c r="B7" s="4" t="str">
        <f t="shared" si="0"/>
        <v>Cable de Cu desnudo de 50 mm² de Secc.</v>
      </c>
      <c r="C7" s="6" t="str">
        <f t="shared" si="1"/>
        <v>m</v>
      </c>
      <c r="D7" s="69">
        <v>109.51</v>
      </c>
      <c r="E7" s="70">
        <f t="shared" si="2"/>
        <v>35.15</v>
      </c>
      <c r="F7" s="83">
        <f t="shared" si="3"/>
        <v>3849.2765</v>
      </c>
      <c r="G7" s="10"/>
    </row>
    <row r="8" spans="1:7" ht="12.75">
      <c r="A8" s="11" t="s">
        <v>1016</v>
      </c>
      <c r="B8" s="4" t="str">
        <f>VLOOKUP(A8,'IN-06-10'!$A$5:$D$440,2)</f>
        <v>Transformador de potencia 13,2 KV, 315/0,4/0,231 KVA</v>
      </c>
      <c r="C8" s="4" t="str">
        <f>VLOOKUP(A8,'IN-06-10'!$A$5:$D$440,3)</f>
        <v>u</v>
      </c>
      <c r="D8" s="69">
        <v>1</v>
      </c>
      <c r="E8" s="105">
        <f>VLOOKUP(A8,'IN-06-10'!$A$5:$D$440,4)</f>
        <v>39073.4216</v>
      </c>
      <c r="F8" s="83">
        <f t="shared" si="3"/>
        <v>39073.4216</v>
      </c>
      <c r="G8" s="10"/>
    </row>
    <row r="9" spans="1:7" ht="12.75">
      <c r="A9" s="11" t="s">
        <v>1021</v>
      </c>
      <c r="B9" s="4" t="str">
        <f>VLOOKUP(A9,'IN-06-10'!$A$5:$D$440,2)</f>
        <v>Caja de distribución polyester conj. Secc. APR c/fusibles SETA</v>
      </c>
      <c r="C9" s="4" t="str">
        <f>VLOOKUP(A9,'IN-06-10'!$A$5:$D$440,3)</f>
        <v>u</v>
      </c>
      <c r="D9" s="69">
        <v>6.242</v>
      </c>
      <c r="E9" s="105">
        <f>VLOOKUP(A9,'IN-06-10'!$A$5:$D$440,4)</f>
        <v>159.569</v>
      </c>
      <c r="F9" s="83">
        <f t="shared" si="3"/>
        <v>996.0296979999999</v>
      </c>
      <c r="G9" s="10"/>
    </row>
    <row r="10" spans="1:7" ht="12.75">
      <c r="A10" s="11" t="s">
        <v>1026</v>
      </c>
      <c r="B10" s="4" t="str">
        <f>VLOOKUP(A10,'IN-06-10'!$A$5:$D$440,2)</f>
        <v>Morseto de retensión - grampa peine</v>
      </c>
      <c r="C10" s="4" t="str">
        <f>VLOOKUP(A10,'IN-06-10'!$A$5:$D$440,3)</f>
        <v>gl</v>
      </c>
      <c r="D10" s="69">
        <v>47.35</v>
      </c>
      <c r="E10" s="105">
        <f>VLOOKUP(A10,'IN-06-10'!$A$5:$D$440,4)</f>
        <v>17.4</v>
      </c>
      <c r="F10" s="83">
        <f t="shared" si="3"/>
        <v>823.89</v>
      </c>
      <c r="G10" s="10"/>
    </row>
    <row r="11" spans="1:7" ht="12.75">
      <c r="A11" s="11" t="s">
        <v>576</v>
      </c>
      <c r="B11" s="4" t="str">
        <f t="shared" si="0"/>
        <v>arena mediana</v>
      </c>
      <c r="C11" s="6" t="str">
        <f t="shared" si="1"/>
        <v>m3</v>
      </c>
      <c r="D11" s="69">
        <v>7</v>
      </c>
      <c r="E11" s="70">
        <f t="shared" si="2"/>
        <v>51</v>
      </c>
      <c r="F11" s="83">
        <f>E11*D11</f>
        <v>357</v>
      </c>
      <c r="G11" s="10"/>
    </row>
    <row r="12" spans="1:7" ht="12.75">
      <c r="A12" s="11" t="s">
        <v>293</v>
      </c>
      <c r="B12" s="4" t="str">
        <f t="shared" si="0"/>
        <v>ripio zarandeado 1/3</v>
      </c>
      <c r="C12" s="6" t="str">
        <f t="shared" si="1"/>
        <v>m3</v>
      </c>
      <c r="D12" s="69">
        <v>11</v>
      </c>
      <c r="E12" s="70">
        <f t="shared" si="2"/>
        <v>45.5</v>
      </c>
      <c r="F12" s="83">
        <f>E12*D12</f>
        <v>500.5</v>
      </c>
      <c r="G12" s="10"/>
    </row>
    <row r="13" spans="1:7" ht="12.75">
      <c r="A13" s="11" t="s">
        <v>292</v>
      </c>
      <c r="B13" s="4" t="str">
        <f t="shared" si="0"/>
        <v>cemento Portland</v>
      </c>
      <c r="C13" s="6" t="str">
        <f t="shared" si="1"/>
        <v>kg</v>
      </c>
      <c r="D13" s="69">
        <v>2700</v>
      </c>
      <c r="E13" s="70">
        <f t="shared" si="2"/>
        <v>0.4787</v>
      </c>
      <c r="F13" s="83">
        <f>E13*D13</f>
        <v>1292.49</v>
      </c>
      <c r="G13" s="10"/>
    </row>
    <row r="14" spans="1:7" ht="12.75">
      <c r="A14" s="11" t="s">
        <v>1007</v>
      </c>
      <c r="B14" s="4" t="str">
        <f t="shared" si="0"/>
        <v>Columna de Hº Aº Vº de 10,50/1000/3</v>
      </c>
      <c r="C14" s="6" t="str">
        <f t="shared" si="1"/>
        <v>u</v>
      </c>
      <c r="D14" s="69">
        <v>2.098</v>
      </c>
      <c r="E14" s="70">
        <f t="shared" si="2"/>
        <v>6371</v>
      </c>
      <c r="F14" s="83">
        <f>(D14*E14)</f>
        <v>13366.357999999998</v>
      </c>
      <c r="G14" s="10"/>
    </row>
    <row r="15" spans="1:7" ht="12.75">
      <c r="A15" s="95" t="s">
        <v>1074</v>
      </c>
      <c r="B15" s="9"/>
      <c r="C15" s="10"/>
      <c r="D15" s="65"/>
      <c r="E15" s="65"/>
      <c r="F15" s="83"/>
      <c r="G15" s="10"/>
    </row>
    <row r="16" spans="1:7" ht="12.75">
      <c r="A16" s="11" t="s">
        <v>325</v>
      </c>
      <c r="B16" s="4" t="str">
        <f>VLOOKUP(A16,Insumos,2)</f>
        <v>cuadrilla tipo U.G.A.T.S.</v>
      </c>
      <c r="C16" s="6" t="str">
        <f>VLOOKUP(A16,Insumos,3)</f>
        <v>h</v>
      </c>
      <c r="D16" s="65">
        <v>301.9</v>
      </c>
      <c r="E16" s="60">
        <f>VLOOKUP(A16,Insumos,4)</f>
        <v>25.29</v>
      </c>
      <c r="F16" s="83">
        <f>(D16*E16)</f>
        <v>7635.0509999999995</v>
      </c>
      <c r="G16" s="10"/>
    </row>
    <row r="17" spans="1:7" ht="12.75">
      <c r="A17" s="95" t="s">
        <v>1075</v>
      </c>
      <c r="B17" s="9"/>
      <c r="C17" s="10"/>
      <c r="D17" s="65"/>
      <c r="E17" s="65"/>
      <c r="F17" s="83"/>
      <c r="G17" s="10"/>
    </row>
    <row r="18" spans="1:7" ht="12.75">
      <c r="A18" s="11" t="s">
        <v>623</v>
      </c>
      <c r="B18" s="4" t="str">
        <f>VLOOKUP(A18,Insumos,2)</f>
        <v>canasta 3 (retroexcavadora 87 HP)</v>
      </c>
      <c r="C18" s="6" t="str">
        <f>VLOOKUP(A18,Insumos,3)</f>
        <v>h</v>
      </c>
      <c r="D18" s="65">
        <v>13.0555</v>
      </c>
      <c r="E18" s="60">
        <f>VLOOKUP(A18,Insumos,4)</f>
        <v>150.49</v>
      </c>
      <c r="F18" s="83">
        <f>(D18*E18)</f>
        <v>1964.722195</v>
      </c>
      <c r="G18" s="10"/>
    </row>
    <row r="19" spans="1:7" ht="13.5" thickBot="1">
      <c r="A19" s="11"/>
      <c r="B19" s="4"/>
      <c r="C19" s="6"/>
      <c r="D19" s="65"/>
      <c r="E19" s="60"/>
      <c r="F19" s="83"/>
      <c r="G19" s="10"/>
    </row>
    <row r="20" spans="1:7" ht="13.5" thickTop="1">
      <c r="A20" s="88" t="s">
        <v>1069</v>
      </c>
      <c r="B20" s="42" t="s">
        <v>474</v>
      </c>
      <c r="C20" s="93" t="str">
        <f>Fecha</f>
        <v>JUN/10</v>
      </c>
      <c r="D20" s="66"/>
      <c r="E20" s="66"/>
      <c r="F20" s="84">
        <f>SUM(F23:F35)</f>
        <v>15021.509610000001</v>
      </c>
      <c r="G20" s="54"/>
    </row>
    <row r="21" spans="1:7" ht="13.5" thickBot="1">
      <c r="A21" s="43" t="s">
        <v>1068</v>
      </c>
      <c r="B21" s="43" t="s">
        <v>992</v>
      </c>
      <c r="C21" s="44" t="s">
        <v>1067</v>
      </c>
      <c r="D21" s="71" t="s">
        <v>993</v>
      </c>
      <c r="E21" s="68"/>
      <c r="F21" s="85"/>
      <c r="G21" s="56" t="s">
        <v>1070</v>
      </c>
    </row>
    <row r="22" spans="1:7" ht="13.5" thickTop="1">
      <c r="A22" s="95" t="s">
        <v>1073</v>
      </c>
      <c r="B22" s="9"/>
      <c r="C22" s="10"/>
      <c r="D22" s="65"/>
      <c r="E22" s="65"/>
      <c r="F22" s="83"/>
      <c r="G22" s="10"/>
    </row>
    <row r="23" spans="1:7" ht="12.75">
      <c r="A23" s="11" t="s">
        <v>576</v>
      </c>
      <c r="B23" s="4" t="str">
        <f>VLOOKUP(A23,Insumos,2)</f>
        <v>arena mediana</v>
      </c>
      <c r="C23" s="6" t="str">
        <f>VLOOKUP(A23,Insumos,3)</f>
        <v>m3</v>
      </c>
      <c r="D23" s="65">
        <v>0.93</v>
      </c>
      <c r="E23" s="60">
        <f>VLOOKUP(A23,Insumos,4)</f>
        <v>51</v>
      </c>
      <c r="F23" s="83">
        <f aca="true" t="shared" si="4" ref="F23:F31">(D23*E23)</f>
        <v>47.43</v>
      </c>
      <c r="G23" s="10"/>
    </row>
    <row r="24" spans="1:7" ht="12.75">
      <c r="A24" s="11" t="s">
        <v>293</v>
      </c>
      <c r="B24" s="4" t="str">
        <f>VLOOKUP(A24,Insumos,2)</f>
        <v>ripio zarandeado 1/3</v>
      </c>
      <c r="C24" s="6" t="str">
        <f>VLOOKUP(A24,Insumos,3)</f>
        <v>m3</v>
      </c>
      <c r="D24" s="65">
        <v>1.07</v>
      </c>
      <c r="E24" s="60">
        <f>VLOOKUP(A24,Insumos,4)</f>
        <v>45.5</v>
      </c>
      <c r="F24" s="83">
        <f t="shared" si="4"/>
        <v>48.685</v>
      </c>
      <c r="G24" s="10"/>
    </row>
    <row r="25" spans="1:7" ht="12.75">
      <c r="A25" s="11" t="s">
        <v>292</v>
      </c>
      <c r="B25" s="4" t="str">
        <f>VLOOKUP(A25,Insumos,2)</f>
        <v>cemento Portland</v>
      </c>
      <c r="C25" s="6" t="str">
        <f>VLOOKUP(A25,Insumos,3)</f>
        <v>kg</v>
      </c>
      <c r="D25" s="65">
        <v>161</v>
      </c>
      <c r="E25" s="60">
        <f>VLOOKUP(A25,Insumos,4)</f>
        <v>0.4787</v>
      </c>
      <c r="F25" s="83">
        <f t="shared" si="4"/>
        <v>77.0707</v>
      </c>
      <c r="G25" s="10"/>
    </row>
    <row r="26" spans="1:7" ht="12.75">
      <c r="A26" s="11" t="s">
        <v>1006</v>
      </c>
      <c r="B26" s="4" t="str">
        <f>VLOOKUP(A26,Insumos,2)</f>
        <v>Cruceta de Hº Aº separadora</v>
      </c>
      <c r="C26" s="6" t="str">
        <f>VLOOKUP(A26,Insumos,3)</f>
        <v>u</v>
      </c>
      <c r="D26" s="72">
        <v>1</v>
      </c>
      <c r="E26" s="70">
        <f>VLOOKUP(A26,Insumos,4)</f>
        <v>1243.79</v>
      </c>
      <c r="F26" s="83">
        <f t="shared" si="4"/>
        <v>1243.79</v>
      </c>
      <c r="G26" s="10"/>
    </row>
    <row r="27" spans="1:7" ht="12.75">
      <c r="A27" s="11" t="s">
        <v>1007</v>
      </c>
      <c r="B27" s="4" t="str">
        <f>VLOOKUP(A27,Insumos,2)</f>
        <v>Columna de Hº Aº Vº de 10,50/1000/3</v>
      </c>
      <c r="C27" s="6" t="str">
        <f>VLOOKUP(A27,Insumos,3)</f>
        <v>u</v>
      </c>
      <c r="D27" s="72">
        <v>1</v>
      </c>
      <c r="E27" s="70">
        <f>VLOOKUP(A27,Insumos,4)</f>
        <v>6371</v>
      </c>
      <c r="F27" s="83">
        <f t="shared" si="4"/>
        <v>6371</v>
      </c>
      <c r="G27" s="10"/>
    </row>
    <row r="28" spans="1:7" ht="12.75">
      <c r="A28" s="11" t="s">
        <v>1018</v>
      </c>
      <c r="B28" s="4" t="str">
        <f>VLOOKUP(A28,'IN-06-10'!$A$5:$D$440,2)</f>
        <v>Aislador Orgánico 13,2/33kv</v>
      </c>
      <c r="C28" s="4" t="str">
        <f>VLOOKUP(A28,'IN-06-10'!$A$5:$D$440,3)</f>
        <v>u</v>
      </c>
      <c r="D28" s="72">
        <v>3</v>
      </c>
      <c r="E28" s="105">
        <f>VLOOKUP(A28,'IN-06-10'!$A$5:$D$440,4)</f>
        <v>98.626</v>
      </c>
      <c r="F28" s="83">
        <f t="shared" si="4"/>
        <v>295.87800000000004</v>
      </c>
      <c r="G28" s="10"/>
    </row>
    <row r="29" spans="1:7" ht="12.75">
      <c r="A29" s="11" t="s">
        <v>1024</v>
      </c>
      <c r="B29" s="4" t="str">
        <f>VLOOKUP(A29,'IN-06-10'!$A$5:$D$440,2)</f>
        <v>Juego de retensión completo</v>
      </c>
      <c r="C29" s="4" t="str">
        <f>VLOOKUP(A29,'IN-06-10'!$A$5:$D$440,3)</f>
        <v>u</v>
      </c>
      <c r="D29" s="72">
        <v>9.37</v>
      </c>
      <c r="E29" s="105">
        <f>VLOOKUP(A29,'IN-06-10'!$A$5:$D$440,4)</f>
        <v>474.8</v>
      </c>
      <c r="F29" s="83">
        <f t="shared" si="4"/>
        <v>4448.875999999999</v>
      </c>
      <c r="G29" s="10"/>
    </row>
    <row r="30" spans="1:7" ht="12.75">
      <c r="A30" s="11" t="s">
        <v>1029</v>
      </c>
      <c r="B30" s="4" t="str">
        <f>VLOOKUP(A30,'IN-06-10'!$A$5:$D$440,2)</f>
        <v>Cable de Al desnudo de 50 mm² de Secc.</v>
      </c>
      <c r="C30" s="4" t="str">
        <f>VLOOKUP(A30,'IN-06-10'!$A$5:$D$440,3)</f>
        <v>m</v>
      </c>
      <c r="D30" s="65">
        <v>1.05</v>
      </c>
      <c r="E30" s="105">
        <f>VLOOKUP(A30,'IN-06-10'!$A$5:$D$440,4)</f>
        <v>4.37</v>
      </c>
      <c r="F30" s="83">
        <f t="shared" si="4"/>
        <v>4.588500000000001</v>
      </c>
      <c r="G30" s="10"/>
    </row>
    <row r="31" spans="1:7" ht="12.75">
      <c r="A31" s="11" t="s">
        <v>1019</v>
      </c>
      <c r="B31" s="4" t="str">
        <f>VLOOKUP(A31,'IN-06-10'!$A$5:$D$440,2)</f>
        <v>Seccionador fusible XS</v>
      </c>
      <c r="C31" s="4" t="str">
        <f>VLOOKUP(A31,'IN-06-10'!$A$5:$D$440,3)</f>
        <v>u</v>
      </c>
      <c r="D31" s="65">
        <v>1.37</v>
      </c>
      <c r="E31" s="105">
        <f>VLOOKUP(A31,'IN-06-10'!$A$5:$D$440,4)</f>
        <v>294.27</v>
      </c>
      <c r="F31" s="83">
        <f t="shared" si="4"/>
        <v>403.1499</v>
      </c>
      <c r="G31" s="10"/>
    </row>
    <row r="32" spans="1:7" ht="12.75">
      <c r="A32" s="95" t="s">
        <v>1074</v>
      </c>
      <c r="B32" s="9"/>
      <c r="C32" s="6"/>
      <c r="D32" s="65"/>
      <c r="E32" s="65"/>
      <c r="F32" s="83"/>
      <c r="G32" s="10"/>
    </row>
    <row r="33" spans="1:7" ht="12.75">
      <c r="A33" s="11" t="s">
        <v>325</v>
      </c>
      <c r="B33" s="4" t="str">
        <f>VLOOKUP(A33,Insumos,2)</f>
        <v>cuadrilla tipo U.G.A.T.S.</v>
      </c>
      <c r="C33" s="6" t="str">
        <f>VLOOKUP(A33,Insumos,3)</f>
        <v>h</v>
      </c>
      <c r="D33" s="65">
        <v>51.362</v>
      </c>
      <c r="E33" s="60">
        <f>VLOOKUP(A33,Insumos,4)</f>
        <v>25.29</v>
      </c>
      <c r="F33" s="83">
        <f>(D33*E33)</f>
        <v>1298.94498</v>
      </c>
      <c r="G33" s="10"/>
    </row>
    <row r="34" spans="1:7" ht="12.75">
      <c r="A34" s="95" t="s">
        <v>1075</v>
      </c>
      <c r="B34" s="9"/>
      <c r="C34" s="6"/>
      <c r="D34" s="65"/>
      <c r="E34" s="65"/>
      <c r="F34" s="83"/>
      <c r="G34" s="10"/>
    </row>
    <row r="35" spans="1:7" ht="12.75">
      <c r="A35" s="11" t="s">
        <v>623</v>
      </c>
      <c r="B35" s="4" t="str">
        <f>VLOOKUP(A35,Insumos,2)</f>
        <v>canasta 3 (retroexcavadora 87 HP)</v>
      </c>
      <c r="C35" s="6" t="str">
        <f>VLOOKUP(A35,Insumos,3)</f>
        <v>h</v>
      </c>
      <c r="D35" s="65">
        <v>5.197</v>
      </c>
      <c r="E35" s="60">
        <f>VLOOKUP(A35,Insumos,4)</f>
        <v>150.49</v>
      </c>
      <c r="F35" s="83">
        <f>(D35*E35)</f>
        <v>782.09653</v>
      </c>
      <c r="G35" s="10"/>
    </row>
    <row r="36" spans="1:7" ht="13.5" thickBot="1">
      <c r="A36" s="11"/>
      <c r="B36" s="4"/>
      <c r="C36" s="6"/>
      <c r="D36" s="65"/>
      <c r="E36" s="60"/>
      <c r="F36" s="83"/>
      <c r="G36" s="10"/>
    </row>
    <row r="37" spans="1:7" ht="13.5" thickTop="1">
      <c r="A37" s="88" t="s">
        <v>1069</v>
      </c>
      <c r="B37" s="42" t="s">
        <v>476</v>
      </c>
      <c r="C37" s="93" t="str">
        <f>Fecha</f>
        <v>JUN/10</v>
      </c>
      <c r="D37" s="66"/>
      <c r="E37" s="66"/>
      <c r="F37" s="84">
        <f>SUM(F40:F55)</f>
        <v>9286.06275</v>
      </c>
      <c r="G37" s="54"/>
    </row>
    <row r="38" spans="1:7" ht="13.5" thickBot="1">
      <c r="A38" s="43" t="s">
        <v>1068</v>
      </c>
      <c r="B38" s="43" t="s">
        <v>996</v>
      </c>
      <c r="C38" s="44" t="s">
        <v>1067</v>
      </c>
      <c r="D38" s="71" t="s">
        <v>1027</v>
      </c>
      <c r="E38" s="68"/>
      <c r="F38" s="85"/>
      <c r="G38" s="56" t="s">
        <v>1070</v>
      </c>
    </row>
    <row r="39" spans="1:7" ht="13.5" thickTop="1">
      <c r="A39" s="95" t="s">
        <v>1073</v>
      </c>
      <c r="B39" s="9"/>
      <c r="C39" s="10"/>
      <c r="D39" s="65"/>
      <c r="E39" s="65"/>
      <c r="F39" s="83"/>
      <c r="G39" s="10"/>
    </row>
    <row r="40" spans="1:7" ht="12.75">
      <c r="A40" s="11" t="s">
        <v>576</v>
      </c>
      <c r="B40" s="4" t="str">
        <f>VLOOKUP(A40,Insumos,2)</f>
        <v>arena mediana</v>
      </c>
      <c r="C40" s="6" t="str">
        <f>VLOOKUP(A40,Insumos,3)</f>
        <v>m3</v>
      </c>
      <c r="D40" s="65">
        <v>1.59</v>
      </c>
      <c r="E40" s="60">
        <f>VLOOKUP(A40,Insumos,4)</f>
        <v>51</v>
      </c>
      <c r="F40" s="83">
        <f aca="true" t="shared" si="5" ref="F40:F51">(D40*E40)</f>
        <v>81.09</v>
      </c>
      <c r="G40" s="10"/>
    </row>
    <row r="41" spans="1:7" ht="12.75">
      <c r="A41" s="11" t="s">
        <v>293</v>
      </c>
      <c r="B41" s="4" t="str">
        <f>VLOOKUP(A41,Insumos,2)</f>
        <v>ripio zarandeado 1/3</v>
      </c>
      <c r="C41" s="6" t="str">
        <f>VLOOKUP(A41,Insumos,3)</f>
        <v>m3</v>
      </c>
      <c r="D41" s="65">
        <v>2.4</v>
      </c>
      <c r="E41" s="60">
        <f>VLOOKUP(A41,Insumos,4)</f>
        <v>45.5</v>
      </c>
      <c r="F41" s="83">
        <f t="shared" si="5"/>
        <v>109.2</v>
      </c>
      <c r="G41" s="10"/>
    </row>
    <row r="42" spans="1:7" ht="12.75">
      <c r="A42" s="11" t="s">
        <v>292</v>
      </c>
      <c r="B42" s="4" t="str">
        <f>VLOOKUP(A42,Insumos,2)</f>
        <v>cemento Portland</v>
      </c>
      <c r="C42" s="6" t="str">
        <f>VLOOKUP(A42,Insumos,3)</f>
        <v>kg</v>
      </c>
      <c r="D42" s="65">
        <v>274</v>
      </c>
      <c r="E42" s="60">
        <f>VLOOKUP(A42,Insumos,4)</f>
        <v>0.4787</v>
      </c>
      <c r="F42" s="83">
        <f t="shared" si="5"/>
        <v>131.1638</v>
      </c>
      <c r="G42" s="10"/>
    </row>
    <row r="43" spans="1:7" ht="12.75">
      <c r="A43" s="11" t="s">
        <v>1008</v>
      </c>
      <c r="B43" s="4" t="str">
        <f>VLOOKUP(A43,'IN-06-10'!$A$5:$D$440,2)</f>
        <v>Columna de HºAºVº de 9,5/900/3</v>
      </c>
      <c r="C43" s="4" t="str">
        <f>VLOOKUP(A43,'IN-06-10'!$A$5:$D$440,3)</f>
        <v>u</v>
      </c>
      <c r="D43" s="72">
        <v>1</v>
      </c>
      <c r="E43" s="70">
        <f>VLOOKUP(A43,Insumos,4)</f>
        <v>5537.53</v>
      </c>
      <c r="F43" s="83">
        <f t="shared" si="5"/>
        <v>5537.53</v>
      </c>
      <c r="G43" s="10"/>
    </row>
    <row r="44" spans="1:7" ht="12.75">
      <c r="A44" s="11" t="s">
        <v>1024</v>
      </c>
      <c r="B44" s="4" t="str">
        <f>VLOOKUP(A44,'IN-06-10'!$A$5:$D$440,2)</f>
        <v>Juego de retensión completo</v>
      </c>
      <c r="C44" s="4" t="str">
        <f>VLOOKUP(A44,'IN-06-10'!$A$5:$D$440,3)</f>
        <v>u</v>
      </c>
      <c r="D44" s="72">
        <v>1.44</v>
      </c>
      <c r="E44" s="105">
        <f>VLOOKUP(A44,'IN-06-10'!$A$5:$D$440,4)</f>
        <v>474.8</v>
      </c>
      <c r="F44" s="83">
        <f t="shared" si="5"/>
        <v>683.712</v>
      </c>
      <c r="G44" s="10"/>
    </row>
    <row r="45" spans="1:7" ht="12.75">
      <c r="A45" s="11" t="s">
        <v>1009</v>
      </c>
      <c r="B45" s="4" t="str">
        <f>VLOOKUP(A45,'IN-06-10'!$A$5:$D$440,2)</f>
        <v>Poste de eucaliptus creosotado 11 m</v>
      </c>
      <c r="C45" s="4" t="str">
        <f>VLOOKUP(A45,'IN-06-10'!$A$5:$D$440,3)</f>
        <v>u</v>
      </c>
      <c r="D45" s="72">
        <v>1</v>
      </c>
      <c r="E45" s="105">
        <f>VLOOKUP(A45,'IN-06-10'!$A$5:$D$440,4)</f>
        <v>0</v>
      </c>
      <c r="F45" s="83">
        <f t="shared" si="5"/>
        <v>0</v>
      </c>
      <c r="G45" s="10"/>
    </row>
    <row r="46" spans="1:7" ht="12.75">
      <c r="A46" s="11" t="s">
        <v>1025</v>
      </c>
      <c r="B46" s="4" t="str">
        <f>VLOOKUP(A46,'IN-06-10'!$A$5:$D$440,2)</f>
        <v>Juego de suspensión completo</v>
      </c>
      <c r="C46" s="4" t="str">
        <f>VLOOKUP(A46,'IN-06-10'!$A$5:$D$440,3)</f>
        <v>u</v>
      </c>
      <c r="D46" s="72">
        <v>1</v>
      </c>
      <c r="E46" s="105">
        <f>VLOOKUP(A46,'IN-06-10'!$A$5:$D$440,4)</f>
        <v>364.03</v>
      </c>
      <c r="F46" s="83">
        <f t="shared" si="5"/>
        <v>364.03</v>
      </c>
      <c r="G46" s="10"/>
    </row>
    <row r="47" spans="1:7" ht="12.75">
      <c r="A47" s="11" t="s">
        <v>1013</v>
      </c>
      <c r="B47" s="4" t="str">
        <f>VLOOKUP(A47,'IN-06-10'!$A$5:$D$440,2)</f>
        <v>Conductor Cu preensamblado 3x95 + 1x50 m</v>
      </c>
      <c r="C47" s="4" t="str">
        <f>VLOOKUP(A47,'IN-06-10'!$A$5:$D$440,3)</f>
        <v>m</v>
      </c>
      <c r="D47" s="72">
        <v>1</v>
      </c>
      <c r="E47" s="105">
        <f>VLOOKUP(A47,'IN-06-10'!$A$5:$D$440,4)</f>
        <v>37.33</v>
      </c>
      <c r="F47" s="83">
        <f t="shared" si="5"/>
        <v>37.33</v>
      </c>
      <c r="G47" s="10"/>
    </row>
    <row r="48" spans="1:7" ht="12.75">
      <c r="A48" s="11" t="s">
        <v>1020</v>
      </c>
      <c r="B48" s="4" t="str">
        <f>VLOOKUP(A48,'IN-06-10'!$A$5:$D$440,2)</f>
        <v>Jabalina tipo Cooperweld 1,50x3/4"</v>
      </c>
      <c r="C48" s="4" t="str">
        <f>VLOOKUP(A48,'IN-06-10'!$A$5:$D$440,3)</f>
        <v>u</v>
      </c>
      <c r="D48" s="72">
        <v>1.5</v>
      </c>
      <c r="E48" s="105">
        <f>VLOOKUP(A48,'IN-06-10'!$A$5:$D$440,4)</f>
        <v>54.3</v>
      </c>
      <c r="F48" s="83">
        <f t="shared" si="5"/>
        <v>81.44999999999999</v>
      </c>
      <c r="G48" s="10"/>
    </row>
    <row r="49" spans="1:7" ht="12.75">
      <c r="A49" s="11" t="s">
        <v>1012</v>
      </c>
      <c r="B49" s="4" t="str">
        <f>VLOOKUP(A49,'IN-06-10'!$A$5:$D$440,2)</f>
        <v>Conductor desnudo de cobre de 16 mm²</v>
      </c>
      <c r="C49" s="4" t="str">
        <f>VLOOKUP(A49,'IN-06-10'!$A$5:$D$440,3)</f>
        <v>m</v>
      </c>
      <c r="D49" s="72">
        <v>22.091</v>
      </c>
      <c r="E49" s="105">
        <f>VLOOKUP(A49,'IN-06-10'!$A$5:$D$440,4)</f>
        <v>11.59</v>
      </c>
      <c r="F49" s="83">
        <f t="shared" si="5"/>
        <v>256.03469</v>
      </c>
      <c r="G49" s="10"/>
    </row>
    <row r="50" spans="1:7" ht="12.75">
      <c r="A50" s="11" t="s">
        <v>1022</v>
      </c>
      <c r="B50" s="4" t="str">
        <f>VLOOKUP(A50,'IN-06-10'!$A$5:$D$440,2)</f>
        <v>Cajas de derivación trifásica RBT</v>
      </c>
      <c r="C50" s="4" t="str">
        <f>VLOOKUP(A50,'IN-06-10'!$A$5:$D$440,3)</f>
        <v>u</v>
      </c>
      <c r="D50" s="72">
        <v>1</v>
      </c>
      <c r="E50" s="105">
        <f>VLOOKUP(A50,'IN-06-10'!$A$5:$D$440,4)</f>
        <v>809.996</v>
      </c>
      <c r="F50" s="83">
        <f t="shared" si="5"/>
        <v>809.996</v>
      </c>
      <c r="G50" s="10"/>
    </row>
    <row r="51" spans="1:7" ht="12.75">
      <c r="A51" s="11" t="s">
        <v>1015</v>
      </c>
      <c r="B51" s="4" t="str">
        <f>VLOOKUP(A51,'IN-06-10'!$A$5:$D$440,2)</f>
        <v>Conductor prerreunido 4 x 10 mm²</v>
      </c>
      <c r="C51" s="4" t="str">
        <f>VLOOKUP(A51,'IN-06-10'!$A$5:$D$440,3)</f>
        <v>u</v>
      </c>
      <c r="D51" s="72">
        <v>1.05</v>
      </c>
      <c r="E51" s="105">
        <f>VLOOKUP(A51,'IN-06-10'!$A$5:$D$440,4)</f>
        <v>34.15</v>
      </c>
      <c r="F51" s="83">
        <f t="shared" si="5"/>
        <v>35.8575</v>
      </c>
      <c r="G51" s="10"/>
    </row>
    <row r="52" spans="1:7" ht="12.75">
      <c r="A52" s="95" t="s">
        <v>1074</v>
      </c>
      <c r="B52" s="9"/>
      <c r="C52" s="6"/>
      <c r="D52" s="65"/>
      <c r="E52" s="60"/>
      <c r="F52" s="83"/>
      <c r="G52" s="10"/>
    </row>
    <row r="53" spans="1:7" ht="12.75">
      <c r="A53" s="11" t="s">
        <v>325</v>
      </c>
      <c r="B53" s="4" t="str">
        <f>VLOOKUP(A53,Insumos,2)</f>
        <v>cuadrilla tipo U.G.A.T.S.</v>
      </c>
      <c r="C53" s="6" t="str">
        <f>VLOOKUP(A53,Insumos,3)</f>
        <v>h</v>
      </c>
      <c r="D53" s="65">
        <v>30.32</v>
      </c>
      <c r="E53" s="60">
        <f>VLOOKUP(A53,Insumos,4)</f>
        <v>25.29</v>
      </c>
      <c r="F53" s="83">
        <f>(D53*E53)</f>
        <v>766.7927999999999</v>
      </c>
      <c r="G53" s="10"/>
    </row>
    <row r="54" spans="1:7" ht="12.75">
      <c r="A54" s="95" t="s">
        <v>1075</v>
      </c>
      <c r="B54" s="9"/>
      <c r="C54" s="6"/>
      <c r="D54" s="65"/>
      <c r="E54" s="60"/>
      <c r="F54" s="83"/>
      <c r="G54" s="10"/>
    </row>
    <row r="55" spans="1:7" ht="12.75">
      <c r="A55" s="11" t="s">
        <v>623</v>
      </c>
      <c r="B55" s="4" t="str">
        <f>VLOOKUP(A55,Insumos,2)</f>
        <v>canasta 3 (retroexcavadora 87 HP)</v>
      </c>
      <c r="C55" s="6" t="str">
        <f>VLOOKUP(A55,Insumos,3)</f>
        <v>h</v>
      </c>
      <c r="D55" s="65">
        <v>2.604</v>
      </c>
      <c r="E55" s="60">
        <f>VLOOKUP(A55,Insumos,4)</f>
        <v>150.49</v>
      </c>
      <c r="F55" s="83">
        <f>(D55*E55)</f>
        <v>391.87596</v>
      </c>
      <c r="G55" s="10"/>
    </row>
    <row r="56" spans="1:7" ht="13.5" thickBot="1">
      <c r="A56" s="11"/>
      <c r="B56" s="12"/>
      <c r="C56" s="13"/>
      <c r="D56" s="65"/>
      <c r="E56" s="65"/>
      <c r="F56" s="83"/>
      <c r="G56" s="10"/>
    </row>
    <row r="57" spans="1:7" ht="13.5" thickTop="1">
      <c r="A57" s="88" t="s">
        <v>1069</v>
      </c>
      <c r="B57" s="42" t="s">
        <v>1002</v>
      </c>
      <c r="C57" s="93" t="str">
        <f>Fecha</f>
        <v>JUN/10</v>
      </c>
      <c r="D57" s="66"/>
      <c r="E57" s="66"/>
      <c r="F57" s="84">
        <f>SUM(F60:F66)</f>
        <v>13455.40799</v>
      </c>
      <c r="G57" s="54"/>
    </row>
    <row r="58" spans="1:7" ht="13.5" thickBot="1">
      <c r="A58" s="43" t="s">
        <v>1068</v>
      </c>
      <c r="B58" s="44" t="s">
        <v>1003</v>
      </c>
      <c r="C58" s="44" t="s">
        <v>1067</v>
      </c>
      <c r="D58" s="67" t="s">
        <v>1028</v>
      </c>
      <c r="E58" s="68"/>
      <c r="F58" s="85"/>
      <c r="G58" s="56" t="s">
        <v>1070</v>
      </c>
    </row>
    <row r="59" spans="1:7" ht="13.5" thickTop="1">
      <c r="A59" s="95" t="s">
        <v>1073</v>
      </c>
      <c r="B59" s="9"/>
      <c r="C59" s="10"/>
      <c r="D59" s="65"/>
      <c r="E59" s="65"/>
      <c r="F59" s="83"/>
      <c r="G59" s="10"/>
    </row>
    <row r="60" spans="1:7" ht="12.75">
      <c r="A60" s="11" t="s">
        <v>1017</v>
      </c>
      <c r="B60" s="4" t="str">
        <f>VLOOKUP(A60,'IN-06-10'!$A$5:$D$440,2)</f>
        <v>Artefacto Strand MB 70 con SAP 250 W</v>
      </c>
      <c r="C60" s="4" t="str">
        <f>VLOOKUP(A60,'IN-06-10'!$A$5:$D$440,3)</f>
        <v>u</v>
      </c>
      <c r="D60" s="65">
        <v>1.409</v>
      </c>
      <c r="E60" s="105">
        <f>VLOOKUP(A60,'IN-06-10'!$A$5:$D$440,4)</f>
        <v>710.75</v>
      </c>
      <c r="F60" s="83">
        <f>(D60*E60)</f>
        <v>1001.4467500000001</v>
      </c>
      <c r="G60" s="10"/>
    </row>
    <row r="61" spans="1:7" ht="12.75">
      <c r="A61" s="11" t="s">
        <v>1023</v>
      </c>
      <c r="B61" s="4" t="str">
        <f>VLOOKUP(A61,'IN-06-10'!$A$5:$D$440,2)</f>
        <v>Gabinete estanco PVC 600x600x300 c/cerrad. AºPº</v>
      </c>
      <c r="C61" s="4" t="str">
        <f>VLOOKUP(A61,'IN-06-10'!$A$5:$D$440,3)</f>
        <v>u</v>
      </c>
      <c r="D61" s="72">
        <v>2.217</v>
      </c>
      <c r="E61" s="105">
        <f>VLOOKUP(A61,'IN-06-10'!$A$5:$D$440,4)</f>
        <v>716.03</v>
      </c>
      <c r="F61" s="83">
        <f>(D61*E61)</f>
        <v>1587.43851</v>
      </c>
      <c r="G61" s="10"/>
    </row>
    <row r="62" spans="1:7" ht="12.75">
      <c r="A62" s="11" t="s">
        <v>1014</v>
      </c>
      <c r="B62" s="4" t="str">
        <f>VLOOKUP(A62,'IN-06-10'!$A$5:$D$440,2)</f>
        <v>Conductor CU forrado 1 x 35 mm²</v>
      </c>
      <c r="C62" s="4" t="str">
        <f>VLOOKUP(A62,'IN-06-10'!$A$5:$D$440,3)</f>
        <v>m</v>
      </c>
      <c r="D62" s="72">
        <v>551.81</v>
      </c>
      <c r="E62" s="105">
        <f>VLOOKUP(A62,'IN-06-10'!$A$5:$D$440,4)</f>
        <v>14.84</v>
      </c>
      <c r="F62" s="83">
        <f>(D62*E62)</f>
        <v>8188.860399999999</v>
      </c>
      <c r="G62" s="10"/>
    </row>
    <row r="63" spans="1:7" ht="12.75">
      <c r="A63" s="95" t="s">
        <v>1074</v>
      </c>
      <c r="B63" s="40"/>
      <c r="C63" s="45"/>
      <c r="D63" s="72"/>
      <c r="E63" s="72"/>
      <c r="F63" s="83"/>
      <c r="G63" s="10"/>
    </row>
    <row r="64" spans="1:7" ht="12.75">
      <c r="A64" s="11" t="s">
        <v>325</v>
      </c>
      <c r="B64" s="4" t="str">
        <f>VLOOKUP(A64,Insumos,2)</f>
        <v>cuadrilla tipo U.G.A.T.S.</v>
      </c>
      <c r="C64" s="6" t="str">
        <f>VLOOKUP(A64,Insumos,3)</f>
        <v>h</v>
      </c>
      <c r="D64" s="65">
        <v>97.006</v>
      </c>
      <c r="E64" s="60">
        <f>VLOOKUP(A64,Insumos,4)</f>
        <v>25.29</v>
      </c>
      <c r="F64" s="83">
        <f>(D64*E64)</f>
        <v>2453.28174</v>
      </c>
      <c r="G64" s="10"/>
    </row>
    <row r="65" spans="1:7" ht="12.75">
      <c r="A65" s="95" t="s">
        <v>1075</v>
      </c>
      <c r="B65" s="4"/>
      <c r="C65" s="6"/>
      <c r="D65" s="65"/>
      <c r="E65" s="60"/>
      <c r="F65" s="83"/>
      <c r="G65" s="10"/>
    </row>
    <row r="66" spans="1:8" ht="12.75">
      <c r="A66" s="11" t="s">
        <v>623</v>
      </c>
      <c r="B66" s="4" t="str">
        <f>VLOOKUP(A66,Insumos,2)</f>
        <v>canasta 3 (retroexcavadora 87 HP)</v>
      </c>
      <c r="C66" s="6" t="str">
        <f>VLOOKUP(A66,Insumos,3)</f>
        <v>h</v>
      </c>
      <c r="D66" s="65">
        <v>1.491</v>
      </c>
      <c r="E66" s="60">
        <f>VLOOKUP(A66,Insumos,4)</f>
        <v>150.49</v>
      </c>
      <c r="F66" s="83">
        <f>(D66*E66)</f>
        <v>224.38059000000004</v>
      </c>
      <c r="G66" s="10"/>
      <c r="H66" s="99">
        <f>(F66*100)/F$57</f>
        <v>1.6675866697372441</v>
      </c>
    </row>
    <row r="67" spans="1:8" ht="12.75">
      <c r="A67" s="11"/>
      <c r="B67" s="4"/>
      <c r="C67" s="6"/>
      <c r="D67" s="65">
        <v>1.491</v>
      </c>
      <c r="E67" s="60"/>
      <c r="F67" s="83"/>
      <c r="G67" s="10"/>
      <c r="H67" s="1">
        <v>2.477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workbookViewId="0" topLeftCell="A1">
      <selection activeCell="F18" sqref="F1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61"/>
      <c r="E1" s="61"/>
      <c r="F1" s="80"/>
      <c r="G1" s="10"/>
    </row>
    <row r="2" spans="1:7" ht="13.5" thickTop="1">
      <c r="A2" s="86" t="s">
        <v>1069</v>
      </c>
      <c r="B2" s="8" t="s">
        <v>907</v>
      </c>
      <c r="C2" s="91" t="str">
        <f>Fecha</f>
        <v>JUN/10</v>
      </c>
      <c r="D2" s="62"/>
      <c r="E2" s="62"/>
      <c r="F2" s="81">
        <f>SUM(F5:F13)</f>
        <v>65.345785</v>
      </c>
      <c r="G2" s="52"/>
    </row>
    <row r="3" spans="1:7" ht="13.5" thickBot="1">
      <c r="A3" s="14" t="s">
        <v>1068</v>
      </c>
      <c r="B3" s="14" t="s">
        <v>471</v>
      </c>
      <c r="C3" s="92" t="s">
        <v>1067</v>
      </c>
      <c r="D3" s="63" t="s">
        <v>472</v>
      </c>
      <c r="E3" s="64"/>
      <c r="F3" s="82"/>
      <c r="G3" s="53" t="s">
        <v>475</v>
      </c>
    </row>
    <row r="4" spans="1:7" ht="13.5" thickTop="1">
      <c r="A4" s="95" t="s">
        <v>1073</v>
      </c>
      <c r="B4" s="9"/>
      <c r="C4" s="10"/>
      <c r="D4" s="65"/>
      <c r="E4" s="65"/>
      <c r="F4" s="83"/>
      <c r="G4" s="10"/>
    </row>
    <row r="5" spans="1:7" ht="12.75">
      <c r="A5" s="11" t="s">
        <v>291</v>
      </c>
      <c r="B5" s="4" t="str">
        <f>VLOOKUP(A5,Insumos,2)</f>
        <v>hierro mejorado de 10 mm.</v>
      </c>
      <c r="C5" s="6" t="str">
        <f>VLOOKUP(A5,Insumos,3)</f>
        <v>kg</v>
      </c>
      <c r="D5" s="65">
        <v>1.4</v>
      </c>
      <c r="E5" s="60">
        <f>VLOOKUP(A5,Insumos,4)</f>
        <v>4.1892</v>
      </c>
      <c r="F5" s="83">
        <f>+D5*E5</f>
        <v>5.864879999999999</v>
      </c>
      <c r="G5" s="10"/>
    </row>
    <row r="6" spans="1:7" ht="12.75">
      <c r="A6" s="11" t="s">
        <v>292</v>
      </c>
      <c r="B6" s="4" t="str">
        <f>VLOOKUP(A6,Insumos,2)</f>
        <v>cemento Portland</v>
      </c>
      <c r="C6" s="6" t="str">
        <f>VLOOKUP(A6,Insumos,3)</f>
        <v>kg</v>
      </c>
      <c r="D6" s="65">
        <v>36.75</v>
      </c>
      <c r="E6" s="60">
        <f>VLOOKUP(A6,Insumos,4)</f>
        <v>0.4787</v>
      </c>
      <c r="F6" s="83">
        <f>+D6*E6</f>
        <v>17.592225</v>
      </c>
      <c r="G6" s="10"/>
    </row>
    <row r="7" spans="1:7" ht="12.75">
      <c r="A7" s="11" t="s">
        <v>293</v>
      </c>
      <c r="B7" s="4" t="str">
        <f>VLOOKUP(A7,Insumos,2)</f>
        <v>ripio zarandeado 1/3</v>
      </c>
      <c r="C7" s="6" t="str">
        <f>VLOOKUP(A7,Insumos,3)</f>
        <v>m3</v>
      </c>
      <c r="D7" s="65">
        <v>0.074</v>
      </c>
      <c r="E7" s="60">
        <f>VLOOKUP(A7,Insumos,4)</f>
        <v>45.5</v>
      </c>
      <c r="F7" s="83">
        <f>+D7*E7</f>
        <v>3.367</v>
      </c>
      <c r="G7" s="10"/>
    </row>
    <row r="8" spans="1:7" ht="12.75">
      <c r="A8" s="11" t="s">
        <v>294</v>
      </c>
      <c r="B8" s="4" t="str">
        <f>VLOOKUP(A8,Insumos,2)</f>
        <v>arena gruesa</v>
      </c>
      <c r="C8" s="6" t="str">
        <f>VLOOKUP(A8,Insumos,3)</f>
        <v>m3</v>
      </c>
      <c r="D8" s="65">
        <v>0.063</v>
      </c>
      <c r="E8" s="60">
        <f>VLOOKUP(A8,Insumos,4)</f>
        <v>51</v>
      </c>
      <c r="F8" s="83">
        <f>+D8*E8</f>
        <v>3.213</v>
      </c>
      <c r="G8" s="10"/>
    </row>
    <row r="9" spans="1:7" ht="12.75">
      <c r="A9" s="95" t="s">
        <v>1074</v>
      </c>
      <c r="B9" s="9"/>
      <c r="C9" s="10"/>
      <c r="D9" s="65"/>
      <c r="E9" s="65"/>
      <c r="F9" s="83"/>
      <c r="G9" s="10"/>
    </row>
    <row r="10" spans="1:7" ht="12.75">
      <c r="A10" s="11" t="s">
        <v>289</v>
      </c>
      <c r="B10" s="4" t="str">
        <f>VLOOKUP(A10,Insumos,2)</f>
        <v>cuadrilla tipo UOCRA</v>
      </c>
      <c r="C10" s="6" t="str">
        <f>VLOOKUP(A10,Insumos,3)</f>
        <v>h</v>
      </c>
      <c r="D10" s="65">
        <v>1.1</v>
      </c>
      <c r="E10" s="60">
        <f>VLOOKUP(A10,Insumos,4)</f>
        <v>21.86</v>
      </c>
      <c r="F10" s="83">
        <f>+D10*E10</f>
        <v>24.046000000000003</v>
      </c>
      <c r="G10" s="10"/>
    </row>
    <row r="11" spans="1:7" ht="12.75">
      <c r="A11" s="95" t="s">
        <v>1075</v>
      </c>
      <c r="B11" s="9"/>
      <c r="C11" s="10"/>
      <c r="D11" s="65"/>
      <c r="E11" s="65"/>
      <c r="F11" s="83"/>
      <c r="G11" s="10"/>
    </row>
    <row r="12" spans="1:7" ht="12.75">
      <c r="A12" s="11" t="s">
        <v>290</v>
      </c>
      <c r="B12" s="4" t="str">
        <f>VLOOKUP(A12,Insumos,2)</f>
        <v>canasta 1 (camión volcador)</v>
      </c>
      <c r="C12" s="6" t="str">
        <f>VLOOKUP(A12,Insumos,3)</f>
        <v>h</v>
      </c>
      <c r="D12" s="65">
        <v>0.02</v>
      </c>
      <c r="E12" s="60">
        <f>VLOOKUP(A12,Insumos,4)</f>
        <v>195.2</v>
      </c>
      <c r="F12" s="83">
        <f>+D12*E12</f>
        <v>3.904</v>
      </c>
      <c r="G12" s="10"/>
    </row>
    <row r="13" spans="1:7" ht="12.75">
      <c r="A13" s="11" t="s">
        <v>295</v>
      </c>
      <c r="B13" s="4" t="str">
        <f>VLOOKUP(A13,Insumos,2)</f>
        <v>canasta 2 (mixer 5m3)</v>
      </c>
      <c r="C13" s="6" t="str">
        <f>VLOOKUP(A13,Insumos,3)</f>
        <v>h</v>
      </c>
      <c r="D13" s="65">
        <v>0.028</v>
      </c>
      <c r="E13" s="60">
        <f>VLOOKUP(A13,Insumos,4)</f>
        <v>262.81</v>
      </c>
      <c r="F13" s="83">
        <f>+D13*E13</f>
        <v>7.3586800000000006</v>
      </c>
      <c r="G13" s="10"/>
    </row>
    <row r="14" spans="1:7" ht="13.5" thickBot="1">
      <c r="A14" s="11"/>
      <c r="B14" s="4"/>
      <c r="C14" s="6"/>
      <c r="D14" s="65"/>
      <c r="E14" s="60"/>
      <c r="F14" s="83"/>
      <c r="G14" s="10"/>
    </row>
    <row r="15" spans="1:7" ht="13.5" thickTop="1">
      <c r="A15" s="87" t="s">
        <v>1069</v>
      </c>
      <c r="B15" s="8" t="s">
        <v>909</v>
      </c>
      <c r="C15" s="91" t="str">
        <f>Fecha</f>
        <v>JUN/10</v>
      </c>
      <c r="D15" s="57"/>
      <c r="E15" s="57"/>
      <c r="F15" s="77">
        <f>SUM(F17:F28)</f>
        <v>91.60124018719797</v>
      </c>
      <c r="G15" s="50"/>
    </row>
    <row r="16" spans="1:7" ht="13.5" thickBot="1">
      <c r="A16" s="7" t="s">
        <v>1068</v>
      </c>
      <c r="B16" s="14" t="s">
        <v>471</v>
      </c>
      <c r="C16" s="90" t="s">
        <v>1067</v>
      </c>
      <c r="D16" s="58" t="s">
        <v>574</v>
      </c>
      <c r="E16" s="59"/>
      <c r="F16" s="78"/>
      <c r="G16" s="51" t="s">
        <v>602</v>
      </c>
    </row>
    <row r="17" spans="1:6" ht="13.5" thickTop="1">
      <c r="A17" s="94" t="s">
        <v>1073</v>
      </c>
      <c r="D17" s="60"/>
      <c r="E17" s="60"/>
      <c r="F17" s="79"/>
    </row>
    <row r="18" spans="1:8" ht="12.75">
      <c r="A18" s="3" t="s">
        <v>575</v>
      </c>
      <c r="B18" s="4" t="str">
        <f>VLOOKUP(A18,'IN-06-10'!$A$5:$D$440,2)</f>
        <v>adoquines para pavimento</v>
      </c>
      <c r="C18" s="4" t="str">
        <f>VLOOKUP(A18,'IN-06-10'!$A$5:$D$440,3)</f>
        <v>m2</v>
      </c>
      <c r="D18" s="60">
        <v>1.1</v>
      </c>
      <c r="E18" s="105">
        <f>VLOOKUP(A18,'IN-06-10'!$A$5:$D$440,4)</f>
        <v>38.0165</v>
      </c>
      <c r="F18" s="79">
        <f>(D18*E18)</f>
        <v>41.81815</v>
      </c>
      <c r="H18" s="99"/>
    </row>
    <row r="19" spans="1:8" ht="12.75">
      <c r="A19" s="3" t="s">
        <v>576</v>
      </c>
      <c r="B19" s="4" t="str">
        <f>VLOOKUP(A19,Insumos,2)</f>
        <v>arena mediana</v>
      </c>
      <c r="C19" s="6" t="str">
        <f>VLOOKUP(A19,Insumos,3)</f>
        <v>m3</v>
      </c>
      <c r="D19" s="60">
        <v>0.045</v>
      </c>
      <c r="E19" s="60">
        <f>VLOOKUP(A19,Insumos,4)</f>
        <v>51</v>
      </c>
      <c r="F19" s="79">
        <f>(D19*E19)</f>
        <v>2.295</v>
      </c>
      <c r="H19" s="99"/>
    </row>
    <row r="20" spans="1:9" ht="12.75">
      <c r="A20" s="3" t="s">
        <v>577</v>
      </c>
      <c r="B20" s="4" t="str">
        <f>VLOOKUP(A20,Insumos,2)</f>
        <v>enlame</v>
      </c>
      <c r="C20" s="6" t="str">
        <f>VLOOKUP(A20,Insumos,3)</f>
        <v>m3</v>
      </c>
      <c r="D20" s="60">
        <v>0.035</v>
      </c>
      <c r="E20" s="60">
        <f>VLOOKUP(A20,Insumos,4)</f>
        <v>42.5</v>
      </c>
      <c r="F20" s="79">
        <f>(D20*E20)</f>
        <v>1.4875</v>
      </c>
      <c r="H20" s="99"/>
      <c r="I20" s="99"/>
    </row>
    <row r="21" spans="1:6" ht="12.75">
      <c r="A21" s="94" t="s">
        <v>1074</v>
      </c>
      <c r="D21" s="60"/>
      <c r="E21" s="60"/>
      <c r="F21" s="79"/>
    </row>
    <row r="22" spans="1:9" ht="12.75">
      <c r="A22" s="3" t="s">
        <v>289</v>
      </c>
      <c r="B22" s="4" t="str">
        <f>VLOOKUP(A22,Insumos,2)</f>
        <v>cuadrilla tipo UOCRA</v>
      </c>
      <c r="C22" s="6" t="str">
        <f>VLOOKUP(A22,Insumos,3)</f>
        <v>h</v>
      </c>
      <c r="D22" s="60">
        <f>(0.05+0.009+0.009+0.03)+(0.018+0.018+0.3)+(0.017+0.027+0.027+0.3)</f>
        <v>0.8049999999999999</v>
      </c>
      <c r="E22" s="60">
        <f>VLOOKUP(A22,Insumos,4)</f>
        <v>21.86</v>
      </c>
      <c r="F22" s="79">
        <f>(D22*E22)</f>
        <v>17.597299999999997</v>
      </c>
      <c r="H22" s="99"/>
      <c r="I22" s="99"/>
    </row>
    <row r="23" spans="1:6" ht="12.75">
      <c r="A23" s="94" t="s">
        <v>1075</v>
      </c>
      <c r="D23" s="60"/>
      <c r="E23" s="60"/>
      <c r="F23" s="79"/>
    </row>
    <row r="24" spans="1:10" ht="12.75">
      <c r="A24" s="3" t="s">
        <v>479</v>
      </c>
      <c r="B24" s="4" t="str">
        <f>VLOOKUP(A24,Insumos,2)</f>
        <v>motoniveladora</v>
      </c>
      <c r="C24" s="6" t="str">
        <f>VLOOKUP(A24,Insumos,3)</f>
        <v>h</v>
      </c>
      <c r="D24" s="60">
        <v>0.013114580435639995</v>
      </c>
      <c r="E24" s="60">
        <f>VLOOKUP(A24,Insumos,4)</f>
        <v>229.72</v>
      </c>
      <c r="F24" s="79">
        <f>(D24*E24)</f>
        <v>3.01268141767522</v>
      </c>
      <c r="H24" s="99"/>
      <c r="J24" s="99"/>
    </row>
    <row r="25" spans="1:10" ht="12.75">
      <c r="A25" s="3" t="s">
        <v>578</v>
      </c>
      <c r="B25" s="4" t="str">
        <f>VLOOKUP(A25,Insumos,2)</f>
        <v>retroexcavadora 87 H.P.</v>
      </c>
      <c r="C25" s="6" t="str">
        <f>VLOOKUP(A25,Insumos,3)</f>
        <v>h</v>
      </c>
      <c r="D25" s="60">
        <v>0.064407161695032</v>
      </c>
      <c r="E25" s="60">
        <f>VLOOKUP(A25,Insumos,4)</f>
        <v>150.49</v>
      </c>
      <c r="F25" s="79">
        <f>(D25*E25)</f>
        <v>9.692633763485366</v>
      </c>
      <c r="H25" s="99"/>
      <c r="J25" s="99"/>
    </row>
    <row r="26" spans="1:10" ht="12.75">
      <c r="A26" s="3" t="s">
        <v>683</v>
      </c>
      <c r="B26" s="4" t="str">
        <f>VLOOKUP(A26,Insumos,2)</f>
        <v>camión volcador 140 H.P.</v>
      </c>
      <c r="C26" s="6" t="str">
        <f>VLOOKUP(A26,Insumos,3)</f>
        <v>h</v>
      </c>
      <c r="D26" s="60">
        <v>0.06411572657423999</v>
      </c>
      <c r="E26" s="60">
        <f>VLOOKUP(A26,Insumos,4)</f>
        <v>195.2</v>
      </c>
      <c r="F26" s="79">
        <f>(D26*E26)</f>
        <v>12.515389827291644</v>
      </c>
      <c r="H26" s="99"/>
      <c r="J26" s="99"/>
    </row>
    <row r="27" spans="1:10" ht="12.75">
      <c r="A27" s="3" t="s">
        <v>687</v>
      </c>
      <c r="B27" s="4" t="str">
        <f>VLOOKUP(A27,Insumos,2)</f>
        <v>rodillo neumático autopropulsado 70 HP</v>
      </c>
      <c r="C27" s="6" t="str">
        <f>VLOOKUP(A27,Insumos,3)</f>
        <v>h</v>
      </c>
      <c r="D27" s="60">
        <v>0.011365969710888</v>
      </c>
      <c r="E27" s="60">
        <f>VLOOKUP(A27,Insumos,4)</f>
        <v>116.98</v>
      </c>
      <c r="F27" s="79">
        <f>(D27*E27)</f>
        <v>1.3295911367796782</v>
      </c>
      <c r="H27" s="99"/>
      <c r="J27" s="99"/>
    </row>
    <row r="28" spans="1:10" ht="12.75">
      <c r="A28" s="3" t="s">
        <v>480</v>
      </c>
      <c r="B28" s="4" t="str">
        <f>VLOOKUP(A28,Insumos,2)</f>
        <v>vibrocompactador autopropulsado 120 HP</v>
      </c>
      <c r="C28" s="6" t="str">
        <f>VLOOKUP(A28,Insumos,3)</f>
        <v>h</v>
      </c>
      <c r="D28" s="60">
        <v>0.011365969710888</v>
      </c>
      <c r="E28" s="60">
        <f>VLOOKUP(A28,Insumos,4)</f>
        <v>163.03</v>
      </c>
      <c r="F28" s="79">
        <f>(D28*E28)</f>
        <v>1.8529940419660706</v>
      </c>
      <c r="H28" s="99"/>
      <c r="I28" s="99"/>
      <c r="J28" s="99"/>
    </row>
    <row r="29" ht="13.5" thickBot="1"/>
    <row r="30" spans="1:7" ht="13.5" thickTop="1">
      <c r="A30" s="87" t="s">
        <v>1069</v>
      </c>
      <c r="B30" s="8" t="s">
        <v>908</v>
      </c>
      <c r="C30" s="91" t="str">
        <f>Fecha</f>
        <v>JUN/10</v>
      </c>
      <c r="D30" s="57"/>
      <c r="E30" s="57"/>
      <c r="F30" s="77">
        <f>SUM(F33:F46)</f>
        <v>76.585946</v>
      </c>
      <c r="G30" s="50"/>
    </row>
    <row r="31" spans="1:7" ht="13.5" thickBot="1">
      <c r="A31" s="7" t="s">
        <v>1068</v>
      </c>
      <c r="B31" s="7" t="s">
        <v>471</v>
      </c>
      <c r="C31" s="90" t="s">
        <v>1067</v>
      </c>
      <c r="D31" s="58" t="s">
        <v>906</v>
      </c>
      <c r="E31" s="59"/>
      <c r="F31" s="78"/>
      <c r="G31" s="51" t="s">
        <v>602</v>
      </c>
    </row>
    <row r="32" spans="4:6" ht="13.5" thickTop="1">
      <c r="D32" s="60"/>
      <c r="E32" s="60"/>
      <c r="F32" s="79"/>
    </row>
    <row r="33" spans="1:6" ht="12.75">
      <c r="A33" s="94" t="s">
        <v>1073</v>
      </c>
      <c r="D33" s="60"/>
      <c r="E33" s="60"/>
      <c r="F33" s="79"/>
    </row>
    <row r="34" spans="1:8" ht="12.75">
      <c r="A34" s="11" t="s">
        <v>292</v>
      </c>
      <c r="B34" s="4" t="str">
        <f>VLOOKUP(A34,Insumos,2)</f>
        <v>cemento Portland</v>
      </c>
      <c r="C34" s="6" t="str">
        <f>VLOOKUP(A34,Insumos,3)</f>
        <v>kg</v>
      </c>
      <c r="D34" s="65">
        <f>350*0.15</f>
        <v>52.5</v>
      </c>
      <c r="E34" s="60">
        <f>VLOOKUP(A34,Insumos,4)</f>
        <v>0.4787</v>
      </c>
      <c r="F34" s="83">
        <f>(D34*E34)</f>
        <v>25.13175</v>
      </c>
      <c r="G34" s="10"/>
      <c r="H34" s="99"/>
    </row>
    <row r="35" spans="1:8" ht="12.75">
      <c r="A35" s="11" t="s">
        <v>293</v>
      </c>
      <c r="B35" s="4" t="str">
        <f>VLOOKUP(A35,Insumos,2)</f>
        <v>ripio zarandeado 1/3</v>
      </c>
      <c r="C35" s="6" t="str">
        <f>VLOOKUP(A35,Insumos,3)</f>
        <v>m3</v>
      </c>
      <c r="D35" s="65">
        <f>0.7*0.15</f>
        <v>0.105</v>
      </c>
      <c r="E35" s="60">
        <f>VLOOKUP(A35,Insumos,4)</f>
        <v>45.5</v>
      </c>
      <c r="F35" s="83">
        <f>(D35*E35)</f>
        <v>4.7775</v>
      </c>
      <c r="G35" s="10"/>
      <c r="H35" s="99"/>
    </row>
    <row r="36" spans="1:8" ht="12.75">
      <c r="A36" s="11" t="s">
        <v>294</v>
      </c>
      <c r="B36" s="4" t="str">
        <f>VLOOKUP(A36,Insumos,2)</f>
        <v>arena gruesa</v>
      </c>
      <c r="C36" s="6" t="str">
        <f>VLOOKUP(A36,Insumos,3)</f>
        <v>m3</v>
      </c>
      <c r="D36" s="65">
        <f>0.6*0.15</f>
        <v>0.09</v>
      </c>
      <c r="E36" s="60">
        <f>VLOOKUP(A36,Insumos,4)</f>
        <v>51</v>
      </c>
      <c r="F36" s="83">
        <f>(D36*E36)</f>
        <v>4.59</v>
      </c>
      <c r="G36" s="10"/>
      <c r="H36" s="99"/>
    </row>
    <row r="37" spans="1:8" ht="12.75">
      <c r="A37" s="11" t="s">
        <v>291</v>
      </c>
      <c r="B37" s="4" t="str">
        <f>VLOOKUP(A37,Insumos,2)</f>
        <v>hierro mejorado de 10 mm.</v>
      </c>
      <c r="C37" s="6" t="str">
        <f>VLOOKUP(A37,Insumos,3)</f>
        <v>kg</v>
      </c>
      <c r="D37" s="65">
        <v>0.9</v>
      </c>
      <c r="E37" s="60">
        <f>VLOOKUP(A37,Insumos,4)</f>
        <v>4.1892</v>
      </c>
      <c r="F37" s="83">
        <f>(D37*E37)</f>
        <v>3.7702799999999996</v>
      </c>
      <c r="H37" s="99"/>
    </row>
    <row r="38" spans="1:9" ht="12.75">
      <c r="A38" s="2" t="s">
        <v>740</v>
      </c>
      <c r="B38" s="4" t="str">
        <f>VLOOKUP(A38,Insumos,2)</f>
        <v>asfalto plástico p/juntas de pavimento</v>
      </c>
      <c r="C38" s="6" t="str">
        <f>VLOOKUP(A38,Insumos,3)</f>
        <v>kg</v>
      </c>
      <c r="D38" s="60">
        <v>0.96</v>
      </c>
      <c r="E38" s="60">
        <f>VLOOKUP(A38,Insumos,4)</f>
        <v>4.58</v>
      </c>
      <c r="F38" s="83">
        <f>(D38*E38)</f>
        <v>4.3968</v>
      </c>
      <c r="H38" s="99"/>
      <c r="I38" s="99"/>
    </row>
    <row r="39" spans="1:8" ht="12.75">
      <c r="A39" s="94" t="s">
        <v>1074</v>
      </c>
      <c r="D39" s="60"/>
      <c r="E39" s="60"/>
      <c r="F39" s="79"/>
      <c r="H39" s="99"/>
    </row>
    <row r="40" spans="1:9" ht="12.75">
      <c r="A40" s="3" t="s">
        <v>289</v>
      </c>
      <c r="B40" s="4" t="str">
        <f>VLOOKUP(A40,Insumos,2)</f>
        <v>cuadrilla tipo UOCRA</v>
      </c>
      <c r="C40" s="6" t="str">
        <f>VLOOKUP(A40,Insumos,3)</f>
        <v>h</v>
      </c>
      <c r="D40" s="60">
        <v>0.66</v>
      </c>
      <c r="E40" s="60">
        <f>VLOOKUP(A40,Insumos,4)</f>
        <v>21.86</v>
      </c>
      <c r="F40" s="79">
        <f>(D40*E40)</f>
        <v>14.4276</v>
      </c>
      <c r="H40" s="99"/>
      <c r="I40" s="99"/>
    </row>
    <row r="41" spans="1:8" ht="12.75">
      <c r="A41" s="94" t="s">
        <v>1075</v>
      </c>
      <c r="D41" s="60"/>
      <c r="E41" s="60"/>
      <c r="F41" s="79"/>
      <c r="H41" s="99"/>
    </row>
    <row r="42" spans="1:8" ht="12.75">
      <c r="A42" s="3" t="s">
        <v>479</v>
      </c>
      <c r="B42" s="4" t="str">
        <f>VLOOKUP(A42,Insumos,2)</f>
        <v>motoniveladora</v>
      </c>
      <c r="C42" s="6" t="str">
        <f>VLOOKUP(A42,Insumos,3)</f>
        <v>h</v>
      </c>
      <c r="D42" s="60">
        <v>0.009</v>
      </c>
      <c r="E42" s="60">
        <f>VLOOKUP(A42,Insumos,4)</f>
        <v>229.72</v>
      </c>
      <c r="F42" s="79">
        <f>(D42*E42)</f>
        <v>2.0674799999999998</v>
      </c>
      <c r="H42" s="99"/>
    </row>
    <row r="43" spans="1:8" ht="12.75">
      <c r="A43" s="3" t="s">
        <v>578</v>
      </c>
      <c r="B43" s="4" t="str">
        <f>VLOOKUP(A43,Insumos,2)</f>
        <v>retroexcavadora 87 H.P.</v>
      </c>
      <c r="C43" s="6" t="str">
        <f>VLOOKUP(A43,Insumos,3)</f>
        <v>h</v>
      </c>
      <c r="D43" s="60">
        <v>0.0442</v>
      </c>
      <c r="E43" s="60">
        <f>VLOOKUP(A43,Insumos,4)</f>
        <v>150.49</v>
      </c>
      <c r="F43" s="79">
        <f>(D43*E43)</f>
        <v>6.651658000000001</v>
      </c>
      <c r="H43" s="99"/>
    </row>
    <row r="44" spans="1:8" ht="12.75">
      <c r="A44" s="3" t="s">
        <v>683</v>
      </c>
      <c r="B44" s="4" t="str">
        <f>VLOOKUP(A44,Insumos,2)</f>
        <v>camión volcador 140 H.P.</v>
      </c>
      <c r="C44" s="6" t="str">
        <f>VLOOKUP(A44,Insumos,3)</f>
        <v>h</v>
      </c>
      <c r="D44" s="60">
        <v>0.044</v>
      </c>
      <c r="E44" s="60">
        <f>VLOOKUP(A44,Insumos,4)</f>
        <v>195.2</v>
      </c>
      <c r="F44" s="79">
        <f>(D44*E44)</f>
        <v>8.588799999999999</v>
      </c>
      <c r="H44" s="99"/>
    </row>
    <row r="45" spans="1:8" ht="12.75">
      <c r="A45" s="3" t="s">
        <v>687</v>
      </c>
      <c r="B45" s="4" t="str">
        <f>VLOOKUP(A45,Insumos,2)</f>
        <v>rodillo neumático autopropulsado 70 HP</v>
      </c>
      <c r="C45" s="6" t="str">
        <f>VLOOKUP(A45,Insumos,3)</f>
        <v>h</v>
      </c>
      <c r="D45" s="60">
        <v>0.0078000000000000005</v>
      </c>
      <c r="E45" s="60">
        <f>VLOOKUP(A45,Insumos,4)</f>
        <v>116.98</v>
      </c>
      <c r="F45" s="79">
        <f>(D45*E45)</f>
        <v>0.9124440000000001</v>
      </c>
      <c r="H45" s="99"/>
    </row>
    <row r="46" spans="1:9" ht="12.75">
      <c r="A46" s="3" t="s">
        <v>480</v>
      </c>
      <c r="B46" s="4" t="str">
        <f>VLOOKUP(A46,Insumos,2)</f>
        <v>vibrocompactador autopropulsado 120 HP</v>
      </c>
      <c r="C46" s="6" t="str">
        <f>VLOOKUP(A46,Insumos,3)</f>
        <v>h</v>
      </c>
      <c r="D46" s="60">
        <v>0.0078000000000000005</v>
      </c>
      <c r="E46" s="60">
        <f>VLOOKUP(A46,Insumos,4)</f>
        <v>163.03</v>
      </c>
      <c r="F46" s="79">
        <f>(D46*E46)</f>
        <v>1.2716340000000002</v>
      </c>
      <c r="H46" s="99"/>
      <c r="I46" s="99"/>
    </row>
    <row r="47" ht="13.5" thickBot="1">
      <c r="H47" s="99"/>
    </row>
    <row r="48" spans="1:7" ht="13.5" thickTop="1">
      <c r="A48" s="87" t="s">
        <v>1069</v>
      </c>
      <c r="B48" s="8" t="s">
        <v>910</v>
      </c>
      <c r="C48" s="91" t="str">
        <f>Fecha</f>
        <v>JUN/10</v>
      </c>
      <c r="D48" s="57"/>
      <c r="E48" s="57"/>
      <c r="F48" s="77">
        <f>SUM(F51:F57)</f>
        <v>23.2874078</v>
      </c>
      <c r="G48" s="50"/>
    </row>
    <row r="49" spans="1:7" ht="13.5" thickBot="1">
      <c r="A49" s="7" t="s">
        <v>1068</v>
      </c>
      <c r="B49" s="7" t="s">
        <v>471</v>
      </c>
      <c r="C49" s="90" t="s">
        <v>1067</v>
      </c>
      <c r="D49" s="58" t="s">
        <v>905</v>
      </c>
      <c r="E49" s="59"/>
      <c r="F49" s="78"/>
      <c r="G49" s="51" t="s">
        <v>602</v>
      </c>
    </row>
    <row r="50" spans="4:6" ht="13.5" thickTop="1">
      <c r="D50" s="60"/>
      <c r="E50" s="60"/>
      <c r="F50" s="79"/>
    </row>
    <row r="51" spans="1:6" ht="12.75">
      <c r="A51" s="94" t="s">
        <v>1073</v>
      </c>
      <c r="D51" s="60"/>
      <c r="E51" s="60"/>
      <c r="F51" s="79"/>
    </row>
    <row r="52" spans="1:6" ht="12.75">
      <c r="A52" s="3" t="s">
        <v>304</v>
      </c>
      <c r="B52" s="4" t="str">
        <f>VLOOKUP(A52,Insumos,2)</f>
        <v>ripiosa</v>
      </c>
      <c r="C52" s="6" t="str">
        <f>VLOOKUP(A52,Insumos,3)</f>
        <v>m3</v>
      </c>
      <c r="D52" s="60">
        <v>0.13</v>
      </c>
      <c r="E52" s="60">
        <f>VLOOKUP(A52,Insumos,4)</f>
        <v>48</v>
      </c>
      <c r="F52" s="79">
        <f>(D52*E52)</f>
        <v>6.24</v>
      </c>
    </row>
    <row r="53" spans="1:6" ht="12.75">
      <c r="A53" s="94" t="s">
        <v>1074</v>
      </c>
      <c r="D53" s="60"/>
      <c r="E53" s="60"/>
      <c r="F53" s="79"/>
    </row>
    <row r="54" spans="1:6" ht="12.75">
      <c r="A54" s="3" t="s">
        <v>289</v>
      </c>
      <c r="B54" s="4" t="str">
        <f>VLOOKUP(A54,Insumos,2)</f>
        <v>cuadrilla tipo UOCRA</v>
      </c>
      <c r="C54" s="6" t="str">
        <f>VLOOKUP(A54,Insumos,3)</f>
        <v>h</v>
      </c>
      <c r="D54" s="60">
        <f>(0.05+0.009+0.009+0.03)+(0.018+0.018+0.3)+(0.017+0.027+0.027+0.3)/4</f>
        <v>0.5267499999999999</v>
      </c>
      <c r="E54" s="60">
        <f>VLOOKUP(A54,Insumos,4)</f>
        <v>21.86</v>
      </c>
      <c r="F54" s="79">
        <f>(D54*E54)</f>
        <v>11.514755</v>
      </c>
    </row>
    <row r="55" spans="1:6" ht="12.75">
      <c r="A55" s="94" t="s">
        <v>1075</v>
      </c>
      <c r="D55" s="60"/>
      <c r="E55" s="60"/>
      <c r="F55" s="79"/>
    </row>
    <row r="56" spans="1:6" ht="12.75">
      <c r="A56" s="3" t="s">
        <v>479</v>
      </c>
      <c r="B56" s="4" t="str">
        <f>VLOOKUP(A56,Insumos,2)</f>
        <v>motoniveladora</v>
      </c>
      <c r="C56" s="6" t="str">
        <f>VLOOKUP(A56,Insumos,3)</f>
        <v>h</v>
      </c>
      <c r="D56" s="60">
        <f>0.0312/5</f>
        <v>0.00624</v>
      </c>
      <c r="E56" s="60">
        <f>VLOOKUP(A56,Insumos,4)</f>
        <v>229.72</v>
      </c>
      <c r="F56" s="79">
        <f>(D56*E56)</f>
        <v>1.4334528</v>
      </c>
    </row>
    <row r="57" spans="1:6" ht="12.75">
      <c r="A57" s="3" t="s">
        <v>683</v>
      </c>
      <c r="B57" s="4" t="str">
        <f>VLOOKUP(A57,Insumos,2)</f>
        <v>camión volcador 140 H.P.</v>
      </c>
      <c r="C57" s="6" t="str">
        <f>VLOOKUP(A57,Insumos,3)</f>
        <v>h</v>
      </c>
      <c r="D57" s="60">
        <v>0.021</v>
      </c>
      <c r="E57" s="60">
        <f>VLOOKUP(A57,Insumos,4)</f>
        <v>195.2</v>
      </c>
      <c r="F57" s="79">
        <f>(D57*E57)</f>
        <v>4.0992</v>
      </c>
    </row>
  </sheetData>
  <sheetProtection password="DF1D" sheet="1" objects="1" scenarios="1"/>
  <printOptions/>
  <pageMargins left="0.7874015748031497" right="0.7874015748031497" top="1.1811023622047245" bottom="0.984251968503937" header="0" footer="0"/>
  <pageSetup horizontalDpi="300" verticalDpi="300" orientation="landscape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workbookViewId="0" topLeftCell="A1">
      <selection activeCell="S26" sqref="S26"/>
    </sheetView>
  </sheetViews>
  <sheetFormatPr defaultColWidth="11.19921875" defaultRowHeight="15"/>
  <cols>
    <col min="1" max="1" width="7.09765625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1" width="11.3984375" style="0" hidden="1" customWidth="1"/>
    <col min="12" max="12" width="0.1015625" style="0" hidden="1" customWidth="1"/>
    <col min="13" max="13" width="9.296875" style="0" bestFit="1" customWidth="1"/>
    <col min="16" max="16" width="10.59765625" style="113" customWidth="1"/>
    <col min="17" max="17" width="9.796875" style="0" customWidth="1"/>
  </cols>
  <sheetData>
    <row r="1" spans="1:16" ht="15">
      <c r="A1" s="377" t="s">
        <v>1316</v>
      </c>
      <c r="B1" s="378"/>
      <c r="C1" s="377"/>
      <c r="D1" s="377"/>
      <c r="E1" s="379" t="str">
        <f>Fecha</f>
        <v>JUN/10</v>
      </c>
      <c r="F1" s="377"/>
      <c r="G1" s="377"/>
      <c r="H1" s="377"/>
      <c r="I1" s="377"/>
      <c r="J1" s="377"/>
      <c r="K1" s="377"/>
      <c r="L1" s="377"/>
      <c r="M1" s="380"/>
      <c r="N1" s="347"/>
      <c r="O1" s="347"/>
      <c r="P1" s="349" t="str">
        <f>+Fecha</f>
        <v>JUN/10</v>
      </c>
    </row>
    <row r="2" spans="1:13" ht="15" hidden="1">
      <c r="A2" s="4" t="s">
        <v>1321</v>
      </c>
      <c r="B2" s="4" t="str">
        <f>VLOOKUP(A2,Insumos,2)</f>
        <v>equipo acoplado p/camion 1218-42</v>
      </c>
      <c r="C2" s="119">
        <f>VLOOKUP(A2,Insumos,4)</f>
        <v>35000</v>
      </c>
      <c r="D2" s="4" t="s">
        <v>1322</v>
      </c>
      <c r="E2" s="4" t="str">
        <f>VLOOKUP(D2,Insumos,2)</f>
        <v>equipo acoplado p/camion 1620-45</v>
      </c>
      <c r="G2" s="119">
        <f>VLOOKUP(D2,Insumos,4)</f>
        <v>35000</v>
      </c>
      <c r="M2" s="112"/>
    </row>
    <row r="3" spans="1:13" ht="15" hidden="1">
      <c r="A3" s="4" t="s">
        <v>1307</v>
      </c>
      <c r="B3" s="4" t="str">
        <f>VLOOKUP(A3,Insumos,2)</f>
        <v>camión M. Benz 1218-42</v>
      </c>
      <c r="C3" s="119">
        <f>VLOOKUP(A3,Insumos,4)</f>
        <v>247992.8959</v>
      </c>
      <c r="D3" s="4" t="s">
        <v>1314</v>
      </c>
      <c r="E3" s="4" t="str">
        <f>VLOOKUP(D3,Insumos,2)</f>
        <v>chofer</v>
      </c>
      <c r="G3" s="119">
        <f>VLOOKUP(D3,Insumos,4)</f>
        <v>27.8</v>
      </c>
      <c r="H3" s="104" t="s">
        <v>1309</v>
      </c>
      <c r="I3" s="4" t="str">
        <f>VLOOKUP(H3,Insumos,2)</f>
        <v>cubierta 900x20 c/tacos</v>
      </c>
      <c r="K3" s="120">
        <f>VLOOKUP(H3,Insumos,4)</f>
        <v>1355.0964</v>
      </c>
      <c r="M3" s="112"/>
    </row>
    <row r="4" spans="1:13" ht="15" hidden="1">
      <c r="A4" s="4" t="s">
        <v>1308</v>
      </c>
      <c r="B4" s="4" t="str">
        <f>VLOOKUP(A4,Insumos,2)</f>
        <v>camión M. Benz 1620-45</v>
      </c>
      <c r="C4" s="119">
        <f>VLOOKUP(A4,Insumos,4)</f>
        <v>282760.724</v>
      </c>
      <c r="D4" t="s">
        <v>1312</v>
      </c>
      <c r="E4" s="4" t="str">
        <f>VLOOKUP(D4,Insumos,2)</f>
        <v>seguro 1218-42($/año)</v>
      </c>
      <c r="G4" s="120">
        <f>VLOOKUP(D4,Insumos,4)</f>
        <v>4064.0409</v>
      </c>
      <c r="H4" s="104" t="s">
        <v>1310</v>
      </c>
      <c r="I4" s="4" t="str">
        <f>VLOOKUP(H4,Insumos,2)</f>
        <v>cubierta 1000x20 c/tacos</v>
      </c>
      <c r="K4" s="120">
        <f>VLOOKUP(H4,Insumos,4)</f>
        <v>1584.8485</v>
      </c>
      <c r="M4" s="112"/>
    </row>
    <row r="5" spans="1:13" ht="15" hidden="1">
      <c r="A5" s="4" t="s">
        <v>680</v>
      </c>
      <c r="B5" s="4" t="str">
        <f>VLOOKUP(A5,Insumos,2)</f>
        <v>gasoil</v>
      </c>
      <c r="C5" s="119">
        <f>VLOOKUP(A5,Insumos,4)</f>
        <v>2.836</v>
      </c>
      <c r="D5" t="s">
        <v>1313</v>
      </c>
      <c r="E5" s="4" t="str">
        <f>VLOOKUP(D5,Insumos,2)</f>
        <v>seguro 1620-45($/año)</v>
      </c>
      <c r="G5" s="120">
        <f>VLOOKUP(D5,Insumos,4)</f>
        <v>4064.0409</v>
      </c>
      <c r="H5" s="104" t="s">
        <v>1311</v>
      </c>
      <c r="I5" s="4" t="str">
        <f>VLOOKUP(H5,Insumos,2)</f>
        <v>cubierta 1100x20 c/tacos</v>
      </c>
      <c r="K5" s="120">
        <f>VLOOKUP(H5,Insumos,4)</f>
        <v>1808.2645</v>
      </c>
      <c r="M5" s="112"/>
    </row>
    <row r="6" spans="2:13" ht="9.75" customHeight="1">
      <c r="B6" s="111"/>
      <c r="M6" s="112"/>
    </row>
    <row r="7" spans="1:17" ht="15" customHeight="1">
      <c r="A7" s="113" t="s">
        <v>1305</v>
      </c>
      <c r="B7" s="114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5" t="s">
        <v>1306</v>
      </c>
      <c r="P7" s="113" t="s">
        <v>1305</v>
      </c>
      <c r="Q7" t="s">
        <v>1306</v>
      </c>
    </row>
    <row r="8" spans="1:17" ht="15">
      <c r="A8" s="116">
        <v>10</v>
      </c>
      <c r="B8" s="117">
        <f>+A8/25</f>
        <v>0.4</v>
      </c>
      <c r="C8" s="118">
        <v>2.5</v>
      </c>
      <c r="D8" s="117">
        <f>+B8+C8</f>
        <v>2.9</v>
      </c>
      <c r="E8" s="345">
        <f>+(C$3+C$2)*0.9*D8/10000</f>
        <v>73.8611458299</v>
      </c>
      <c r="F8" s="345">
        <f>(C$3+G$2)*0.07*D8/4000</f>
        <v>14.361889466925</v>
      </c>
      <c r="G8" s="345">
        <f>+G$3*D8</f>
        <v>80.62</v>
      </c>
      <c r="H8" s="345">
        <f>+G$4/120/8*D8</f>
        <v>12.27679021875</v>
      </c>
      <c r="I8" s="345">
        <f>+B8*E8/2/D8</f>
        <v>5.0938721262</v>
      </c>
      <c r="J8" s="345">
        <f>+K$3*2*6/40000*A8</f>
        <v>4.0652892</v>
      </c>
      <c r="K8" s="345">
        <f>0.12*145*C$5*1.3*B8</f>
        <v>25.660128</v>
      </c>
      <c r="L8" s="345">
        <f>+E8+F8+G8+H8+I8+J8+K8</f>
        <v>215.939114841775</v>
      </c>
      <c r="M8" s="346">
        <f>+L8/10/A8</f>
        <v>2.15939114841775</v>
      </c>
      <c r="P8" s="116">
        <v>180</v>
      </c>
      <c r="Q8" s="346">
        <v>0.40862996400624996</v>
      </c>
    </row>
    <row r="9" spans="1:17" ht="15">
      <c r="A9" s="116">
        <v>15</v>
      </c>
      <c r="B9" s="117">
        <f aca="true" t="shared" si="0" ref="B9:B49">+A9/25</f>
        <v>0.6</v>
      </c>
      <c r="C9" s="118">
        <v>2.5</v>
      </c>
      <c r="D9" s="117">
        <f aca="true" t="shared" si="1" ref="D9:D49">+B9+C9</f>
        <v>3.1</v>
      </c>
      <c r="E9" s="345">
        <f aca="true" t="shared" si="2" ref="E9:E15">+(C$3+C$2)*0.9*D9/10000</f>
        <v>78.95501795610001</v>
      </c>
      <c r="F9" s="345">
        <f aca="true" t="shared" si="3" ref="F9:F15">(C$3+G$2)*0.07*D9/4000</f>
        <v>15.352364602575003</v>
      </c>
      <c r="G9" s="345">
        <f>+G$3*D9</f>
        <v>86.18</v>
      </c>
      <c r="H9" s="345">
        <f aca="true" t="shared" si="4" ref="H9:H16">+G$4/120/8*D9</f>
        <v>13.12346540625</v>
      </c>
      <c r="I9" s="345">
        <f aca="true" t="shared" si="5" ref="I9:I49">+B9*E9/2/D9</f>
        <v>7.6408081893</v>
      </c>
      <c r="J9" s="345">
        <f aca="true" t="shared" si="6" ref="J9:J16">+K$3*2*6/40000*A9</f>
        <v>6.0979338</v>
      </c>
      <c r="K9" s="345">
        <f aca="true" t="shared" si="7" ref="K9:K16">0.12*145*C$5*1.3*B9</f>
        <v>38.49019199999999</v>
      </c>
      <c r="L9" s="345">
        <f aca="true" t="shared" si="8" ref="L9:L49">+E9+F9+G9+H9+I9+J9+K9</f>
        <v>245.83978195422503</v>
      </c>
      <c r="M9" s="346">
        <f aca="true" t="shared" si="9" ref="M9:M16">+L9/10/A9</f>
        <v>1.6389318796948336</v>
      </c>
      <c r="P9" s="116">
        <v>190</v>
      </c>
      <c r="Q9" s="346">
        <v>0.40402158288289464</v>
      </c>
    </row>
    <row r="10" spans="1:17" ht="15">
      <c r="A10" s="116">
        <v>20</v>
      </c>
      <c r="B10" s="117">
        <f t="shared" si="0"/>
        <v>0.8</v>
      </c>
      <c r="C10" s="118">
        <v>2.5</v>
      </c>
      <c r="D10" s="117">
        <f t="shared" si="1"/>
        <v>3.3</v>
      </c>
      <c r="E10" s="345">
        <f t="shared" si="2"/>
        <v>84.0488900823</v>
      </c>
      <c r="F10" s="345">
        <f t="shared" si="3"/>
        <v>16.342839738225</v>
      </c>
      <c r="G10" s="345">
        <f aca="true" t="shared" si="10" ref="G10:G49">+G$3*D10</f>
        <v>91.74</v>
      </c>
      <c r="H10" s="345">
        <f t="shared" si="4"/>
        <v>13.97014059375</v>
      </c>
      <c r="I10" s="345">
        <f t="shared" si="5"/>
        <v>10.187744252400002</v>
      </c>
      <c r="J10" s="345">
        <f t="shared" si="6"/>
        <v>8.1305784</v>
      </c>
      <c r="K10" s="345">
        <f t="shared" si="7"/>
        <v>51.320256</v>
      </c>
      <c r="L10" s="345">
        <f t="shared" si="8"/>
        <v>275.74044906667496</v>
      </c>
      <c r="M10" s="346">
        <f t="shared" si="9"/>
        <v>1.3787022453333748</v>
      </c>
      <c r="P10" s="116">
        <v>200</v>
      </c>
      <c r="Q10" s="346">
        <v>0.3998740398718749</v>
      </c>
    </row>
    <row r="11" spans="1:17" ht="15">
      <c r="A11" s="116">
        <v>25</v>
      </c>
      <c r="B11" s="117">
        <f t="shared" si="0"/>
        <v>1</v>
      </c>
      <c r="C11" s="118">
        <v>2.5</v>
      </c>
      <c r="D11" s="117">
        <f t="shared" si="1"/>
        <v>3.5</v>
      </c>
      <c r="E11" s="345">
        <f t="shared" si="2"/>
        <v>89.1427622085</v>
      </c>
      <c r="F11" s="345">
        <f t="shared" si="3"/>
        <v>17.333314873875004</v>
      </c>
      <c r="G11" s="345">
        <f t="shared" si="10"/>
        <v>97.3</v>
      </c>
      <c r="H11" s="345">
        <f t="shared" si="4"/>
        <v>14.81681578125</v>
      </c>
      <c r="I11" s="345">
        <f t="shared" si="5"/>
        <v>12.7346803155</v>
      </c>
      <c r="J11" s="345">
        <f t="shared" si="6"/>
        <v>10.163222999999999</v>
      </c>
      <c r="K11" s="345">
        <f t="shared" si="7"/>
        <v>64.15032</v>
      </c>
      <c r="L11" s="345">
        <f t="shared" si="8"/>
        <v>305.641116179125</v>
      </c>
      <c r="M11" s="346">
        <f t="shared" si="9"/>
        <v>1.2225644647165</v>
      </c>
      <c r="P11" s="116">
        <v>210</v>
      </c>
      <c r="Q11" s="346">
        <v>0.39612150095714277</v>
      </c>
    </row>
    <row r="12" spans="1:17" ht="15">
      <c r="A12" s="116">
        <v>30</v>
      </c>
      <c r="B12" s="117">
        <f t="shared" si="0"/>
        <v>1.2</v>
      </c>
      <c r="C12" s="118">
        <v>2.5</v>
      </c>
      <c r="D12" s="117">
        <f t="shared" si="1"/>
        <v>3.7</v>
      </c>
      <c r="E12" s="345">
        <f t="shared" si="2"/>
        <v>94.23663433470001</v>
      </c>
      <c r="F12" s="345">
        <f t="shared" si="3"/>
        <v>18.323790009525002</v>
      </c>
      <c r="G12" s="345">
        <f t="shared" si="10"/>
        <v>102.86000000000001</v>
      </c>
      <c r="H12" s="345">
        <f t="shared" si="4"/>
        <v>15.66349096875</v>
      </c>
      <c r="I12" s="345">
        <f t="shared" si="5"/>
        <v>15.2816163786</v>
      </c>
      <c r="J12" s="345">
        <f t="shared" si="6"/>
        <v>12.1958676</v>
      </c>
      <c r="K12" s="345">
        <f t="shared" si="7"/>
        <v>76.98038399999999</v>
      </c>
      <c r="L12" s="345">
        <f t="shared" si="8"/>
        <v>335.54178329157503</v>
      </c>
      <c r="M12" s="346">
        <f t="shared" si="9"/>
        <v>1.1184726109719167</v>
      </c>
      <c r="P12" s="116">
        <v>220</v>
      </c>
      <c r="Q12" s="346">
        <v>0.39271010194375</v>
      </c>
    </row>
    <row r="13" spans="1:17" ht="15">
      <c r="A13" s="116">
        <v>35</v>
      </c>
      <c r="B13" s="117">
        <f t="shared" si="0"/>
        <v>1.4</v>
      </c>
      <c r="C13" s="118">
        <v>2.5</v>
      </c>
      <c r="D13" s="117">
        <f t="shared" si="1"/>
        <v>3.9</v>
      </c>
      <c r="E13" s="345">
        <f t="shared" si="2"/>
        <v>99.3305064609</v>
      </c>
      <c r="F13" s="345">
        <f t="shared" si="3"/>
        <v>19.314265145175003</v>
      </c>
      <c r="G13" s="345">
        <f t="shared" si="10"/>
        <v>108.42</v>
      </c>
      <c r="H13" s="345">
        <f t="shared" si="4"/>
        <v>16.510166156249998</v>
      </c>
      <c r="I13" s="345">
        <f t="shared" si="5"/>
        <v>17.8285524417</v>
      </c>
      <c r="J13" s="345">
        <f t="shared" si="6"/>
        <v>14.228512199999999</v>
      </c>
      <c r="K13" s="345">
        <f t="shared" si="7"/>
        <v>89.81044799999998</v>
      </c>
      <c r="L13" s="345">
        <f t="shared" si="8"/>
        <v>365.44245040402495</v>
      </c>
      <c r="M13" s="346">
        <f t="shared" si="9"/>
        <v>1.0441212868686427</v>
      </c>
      <c r="P13" s="116">
        <v>230</v>
      </c>
      <c r="Q13" s="346">
        <v>0.389595346322826</v>
      </c>
    </row>
    <row r="14" spans="1:17" ht="15">
      <c r="A14" s="116">
        <v>40</v>
      </c>
      <c r="B14" s="117">
        <f t="shared" si="0"/>
        <v>1.6</v>
      </c>
      <c r="C14" s="118">
        <v>2.5</v>
      </c>
      <c r="D14" s="117">
        <f t="shared" si="1"/>
        <v>4.1</v>
      </c>
      <c r="E14" s="345">
        <f t="shared" si="2"/>
        <v>104.4243785871</v>
      </c>
      <c r="F14" s="345">
        <f t="shared" si="3"/>
        <v>20.304740280825</v>
      </c>
      <c r="G14" s="345">
        <f t="shared" si="10"/>
        <v>113.97999999999999</v>
      </c>
      <c r="H14" s="345">
        <f t="shared" si="4"/>
        <v>17.35684134375</v>
      </c>
      <c r="I14" s="345">
        <f t="shared" si="5"/>
        <v>20.375488504800003</v>
      </c>
      <c r="J14" s="345">
        <f t="shared" si="6"/>
        <v>16.2611568</v>
      </c>
      <c r="K14" s="345">
        <f t="shared" si="7"/>
        <v>102.640512</v>
      </c>
      <c r="L14" s="345">
        <f t="shared" si="8"/>
        <v>395.34311751647493</v>
      </c>
      <c r="M14" s="346">
        <f t="shared" si="9"/>
        <v>0.9883577937911874</v>
      </c>
      <c r="P14" s="116">
        <v>240</v>
      </c>
      <c r="Q14" s="346">
        <v>0.3867401536703125</v>
      </c>
    </row>
    <row r="15" spans="1:17" ht="15">
      <c r="A15" s="116">
        <v>45</v>
      </c>
      <c r="B15" s="117">
        <f t="shared" si="0"/>
        <v>1.8</v>
      </c>
      <c r="C15" s="118">
        <v>2.5</v>
      </c>
      <c r="D15" s="117">
        <f t="shared" si="1"/>
        <v>4.3</v>
      </c>
      <c r="E15" s="345">
        <f t="shared" si="2"/>
        <v>109.5182507133</v>
      </c>
      <c r="F15" s="345">
        <f t="shared" si="3"/>
        <v>21.295215416475003</v>
      </c>
      <c r="G15" s="345">
        <f t="shared" si="10"/>
        <v>119.53999999999999</v>
      </c>
      <c r="H15" s="345">
        <f t="shared" si="4"/>
        <v>18.20351653125</v>
      </c>
      <c r="I15" s="345">
        <f t="shared" si="5"/>
        <v>22.922424567900006</v>
      </c>
      <c r="J15" s="345">
        <f t="shared" si="6"/>
        <v>18.2938014</v>
      </c>
      <c r="K15" s="345">
        <f t="shared" si="7"/>
        <v>115.470576</v>
      </c>
      <c r="L15" s="345">
        <f t="shared" si="8"/>
        <v>425.243784628925</v>
      </c>
      <c r="M15" s="346">
        <f t="shared" si="9"/>
        <v>0.9449861880642778</v>
      </c>
      <c r="P15" s="116">
        <v>250</v>
      </c>
      <c r="Q15" s="346">
        <v>0.38411337643</v>
      </c>
    </row>
    <row r="16" spans="1:17" ht="15">
      <c r="A16" s="116">
        <v>50</v>
      </c>
      <c r="B16" s="117">
        <f t="shared" si="0"/>
        <v>2</v>
      </c>
      <c r="C16" s="118">
        <v>2.5</v>
      </c>
      <c r="D16" s="117">
        <f t="shared" si="1"/>
        <v>4.5</v>
      </c>
      <c r="E16" s="345">
        <f>+(C$3+C$2)*0.9*D16/10000</f>
        <v>114.6121228395</v>
      </c>
      <c r="F16" s="345">
        <f>(C$3+G$2)*0.07*D16/4000</f>
        <v>22.285690552125</v>
      </c>
      <c r="G16" s="345">
        <f t="shared" si="10"/>
        <v>125.10000000000001</v>
      </c>
      <c r="H16" s="345">
        <f t="shared" si="4"/>
        <v>19.05019171875</v>
      </c>
      <c r="I16" s="345">
        <f t="shared" si="5"/>
        <v>25.469360631</v>
      </c>
      <c r="J16" s="345">
        <f t="shared" si="6"/>
        <v>20.326445999999997</v>
      </c>
      <c r="K16" s="345">
        <f t="shared" si="7"/>
        <v>128.30064</v>
      </c>
      <c r="L16" s="345">
        <f t="shared" si="8"/>
        <v>455.14445174137495</v>
      </c>
      <c r="M16" s="346">
        <f t="shared" si="9"/>
        <v>0.9102889034827498</v>
      </c>
      <c r="P16" s="116">
        <v>260</v>
      </c>
      <c r="Q16" s="346">
        <v>0.38168865897740384</v>
      </c>
    </row>
    <row r="17" spans="1:17" ht="15">
      <c r="A17" s="116">
        <v>60</v>
      </c>
      <c r="B17" s="117">
        <f t="shared" si="0"/>
        <v>2.4</v>
      </c>
      <c r="C17" s="118">
        <v>6</v>
      </c>
      <c r="D17" s="117">
        <f t="shared" si="1"/>
        <v>8.4</v>
      </c>
      <c r="E17" s="345">
        <f>(C$4+G$2)*0.9*D17/10000</f>
        <v>240.227107344</v>
      </c>
      <c r="F17" s="345">
        <f>(C$4+G$2)*0.07*D17/4000</f>
        <v>46.710826428000004</v>
      </c>
      <c r="G17" s="345">
        <f t="shared" si="10"/>
        <v>233.52</v>
      </c>
      <c r="H17" s="345">
        <f>+G$5/120/8*D17</f>
        <v>35.560357875</v>
      </c>
      <c r="I17" s="345">
        <f t="shared" si="5"/>
        <v>34.318158192</v>
      </c>
      <c r="J17" s="345">
        <f>2*(K$4*6+K$5*12)/40000*A17</f>
        <v>93.62479499999999</v>
      </c>
      <c r="K17" s="345">
        <f>0.12*176*C$5*1.3*B17</f>
        <v>186.87651839999998</v>
      </c>
      <c r="L17" s="345">
        <f t="shared" si="8"/>
        <v>870.8377632390001</v>
      </c>
      <c r="M17" s="346">
        <f>+L17/24/A17</f>
        <v>0.60474844669375</v>
      </c>
      <c r="P17" s="116">
        <v>280</v>
      </c>
      <c r="Q17" s="346">
        <v>0.3773588063834821</v>
      </c>
    </row>
    <row r="18" spans="1:17" ht="15">
      <c r="A18" s="116">
        <v>70</v>
      </c>
      <c r="B18" s="117">
        <f t="shared" si="0"/>
        <v>2.8</v>
      </c>
      <c r="C18" s="118">
        <v>6</v>
      </c>
      <c r="D18" s="117">
        <f t="shared" si="1"/>
        <v>8.8</v>
      </c>
      <c r="E18" s="345">
        <f aca="true" t="shared" si="11" ref="E18:E49">+C$4*0.9*D18/10000</f>
        <v>223.946493408</v>
      </c>
      <c r="F18" s="345">
        <f aca="true" t="shared" si="12" ref="F18:F49">(C$4+G$2)*0.07*D18/4000</f>
        <v>48.935151496</v>
      </c>
      <c r="G18" s="345">
        <f t="shared" si="10"/>
        <v>244.64000000000001</v>
      </c>
      <c r="H18" s="345">
        <f aca="true" t="shared" si="13" ref="H18:H49">+G$5/120/8*D18</f>
        <v>37.25370825</v>
      </c>
      <c r="I18" s="345">
        <f t="shared" si="5"/>
        <v>35.627851224</v>
      </c>
      <c r="J18" s="345">
        <f aca="true" t="shared" si="14" ref="J18:J49">2*(K$4*6+K$5*12)/40000*A18</f>
        <v>109.2289275</v>
      </c>
      <c r="K18" s="345">
        <f aca="true" t="shared" si="15" ref="K18:K49">0.12*176*C$5*1.3*B18</f>
        <v>218.02260479999995</v>
      </c>
      <c r="L18" s="345">
        <f t="shared" si="8"/>
        <v>917.6547366780001</v>
      </c>
      <c r="M18" s="346">
        <f aca="true" t="shared" si="16" ref="M18:M49">+L18/24/A18</f>
        <v>0.5462230575464286</v>
      </c>
      <c r="P18" s="116">
        <v>300</v>
      </c>
      <c r="Q18" s="346">
        <v>0.37360626746875003</v>
      </c>
    </row>
    <row r="19" spans="1:17" ht="15">
      <c r="A19" s="116">
        <v>80</v>
      </c>
      <c r="B19" s="117">
        <f t="shared" si="0"/>
        <v>3.2</v>
      </c>
      <c r="C19" s="118">
        <v>6</v>
      </c>
      <c r="D19" s="117">
        <f t="shared" si="1"/>
        <v>9.2</v>
      </c>
      <c r="E19" s="345">
        <f t="shared" si="11"/>
        <v>234.12587947199995</v>
      </c>
      <c r="F19" s="345">
        <f t="shared" si="12"/>
        <v>51.159476563999995</v>
      </c>
      <c r="G19" s="345">
        <f t="shared" si="10"/>
        <v>255.76</v>
      </c>
      <c r="H19" s="345">
        <f t="shared" si="13"/>
        <v>38.947058625</v>
      </c>
      <c r="I19" s="345">
        <f t="shared" si="5"/>
        <v>40.717544256</v>
      </c>
      <c r="J19" s="345">
        <f t="shared" si="14"/>
        <v>124.83305999999999</v>
      </c>
      <c r="K19" s="345">
        <f t="shared" si="15"/>
        <v>249.16869119999998</v>
      </c>
      <c r="L19" s="345">
        <f t="shared" si="8"/>
        <v>994.7117101169999</v>
      </c>
      <c r="M19" s="346">
        <f t="shared" si="16"/>
        <v>0.5180790156859374</v>
      </c>
      <c r="P19" s="116">
        <v>320</v>
      </c>
      <c r="Q19" s="346">
        <v>0.37032279591835937</v>
      </c>
    </row>
    <row r="20" spans="1:17" ht="15">
      <c r="A20" s="116">
        <v>90</v>
      </c>
      <c r="B20" s="117">
        <f t="shared" si="0"/>
        <v>3.6</v>
      </c>
      <c r="C20" s="118">
        <v>6</v>
      </c>
      <c r="D20" s="117">
        <f t="shared" si="1"/>
        <v>9.6</v>
      </c>
      <c r="E20" s="345">
        <f t="shared" si="11"/>
        <v>244.30526553599998</v>
      </c>
      <c r="F20" s="345">
        <f t="shared" si="12"/>
        <v>53.383801632</v>
      </c>
      <c r="G20" s="345">
        <f t="shared" si="10"/>
        <v>266.88</v>
      </c>
      <c r="H20" s="345">
        <f t="shared" si="13"/>
        <v>40.640409</v>
      </c>
      <c r="I20" s="345">
        <f t="shared" si="5"/>
        <v>45.807237287999996</v>
      </c>
      <c r="J20" s="345">
        <f t="shared" si="14"/>
        <v>140.43719249999998</v>
      </c>
      <c r="K20" s="345">
        <f t="shared" si="15"/>
        <v>280.31477759999996</v>
      </c>
      <c r="L20" s="345">
        <f t="shared" si="8"/>
        <v>1071.7686835559998</v>
      </c>
      <c r="M20" s="346">
        <f t="shared" si="16"/>
        <v>0.49618920534999994</v>
      </c>
      <c r="P20" s="116">
        <v>340</v>
      </c>
      <c r="Q20" s="346">
        <v>0.36742561513860295</v>
      </c>
    </row>
    <row r="21" spans="1:17" ht="15">
      <c r="A21" s="116">
        <v>100</v>
      </c>
      <c r="B21" s="117">
        <f t="shared" si="0"/>
        <v>4</v>
      </c>
      <c r="C21" s="118">
        <v>6</v>
      </c>
      <c r="D21" s="117">
        <f t="shared" si="1"/>
        <v>10</v>
      </c>
      <c r="E21" s="345">
        <f t="shared" si="11"/>
        <v>254.48465159999998</v>
      </c>
      <c r="F21" s="345">
        <f t="shared" si="12"/>
        <v>55.6081267</v>
      </c>
      <c r="G21" s="345">
        <f t="shared" si="10"/>
        <v>278</v>
      </c>
      <c r="H21" s="345">
        <f t="shared" si="13"/>
        <v>42.333759375</v>
      </c>
      <c r="I21" s="345">
        <f t="shared" si="5"/>
        <v>50.896930319999996</v>
      </c>
      <c r="J21" s="345">
        <f t="shared" si="14"/>
        <v>156.04132499999997</v>
      </c>
      <c r="K21" s="345">
        <f t="shared" si="15"/>
        <v>311.46086399999996</v>
      </c>
      <c r="L21" s="345">
        <f t="shared" si="8"/>
        <v>1148.825656995</v>
      </c>
      <c r="M21" s="346">
        <f t="shared" si="16"/>
        <v>0.47867735708125</v>
      </c>
      <c r="P21" s="116">
        <v>360</v>
      </c>
      <c r="Q21" s="346">
        <v>0.364850343334375</v>
      </c>
    </row>
    <row r="22" spans="1:17" ht="15">
      <c r="A22" s="116">
        <v>110</v>
      </c>
      <c r="B22" s="117">
        <f t="shared" si="0"/>
        <v>4.4</v>
      </c>
      <c r="C22" s="118">
        <v>6</v>
      </c>
      <c r="D22" s="117">
        <f t="shared" si="1"/>
        <v>10.4</v>
      </c>
      <c r="E22" s="345">
        <f t="shared" si="11"/>
        <v>264.664037664</v>
      </c>
      <c r="F22" s="345">
        <f t="shared" si="12"/>
        <v>57.832451768000006</v>
      </c>
      <c r="G22" s="345">
        <f t="shared" si="10"/>
        <v>289.12</v>
      </c>
      <c r="H22" s="345">
        <f t="shared" si="13"/>
        <v>44.02710975</v>
      </c>
      <c r="I22" s="345">
        <f t="shared" si="5"/>
        <v>55.986623352</v>
      </c>
      <c r="J22" s="345">
        <f t="shared" si="14"/>
        <v>171.6454575</v>
      </c>
      <c r="K22" s="345">
        <f t="shared" si="15"/>
        <v>342.60695039999996</v>
      </c>
      <c r="L22" s="345">
        <f t="shared" si="8"/>
        <v>1225.882630434</v>
      </c>
      <c r="M22" s="346">
        <f t="shared" si="16"/>
        <v>0.464349481225</v>
      </c>
      <c r="P22" s="116">
        <v>380</v>
      </c>
      <c r="Q22" s="346">
        <v>0.3625461527726973</v>
      </c>
    </row>
    <row r="23" spans="1:17" ht="15">
      <c r="A23" s="116">
        <v>120</v>
      </c>
      <c r="B23" s="117">
        <f t="shared" si="0"/>
        <v>4.8</v>
      </c>
      <c r="C23" s="118">
        <v>6</v>
      </c>
      <c r="D23" s="117">
        <f t="shared" si="1"/>
        <v>10.8</v>
      </c>
      <c r="E23" s="345">
        <f t="shared" si="11"/>
        <v>274.843423728</v>
      </c>
      <c r="F23" s="345">
        <f t="shared" si="12"/>
        <v>60.056776836000004</v>
      </c>
      <c r="G23" s="345">
        <f t="shared" si="10"/>
        <v>300.24</v>
      </c>
      <c r="H23" s="345">
        <f t="shared" si="13"/>
        <v>45.720460125</v>
      </c>
      <c r="I23" s="345">
        <f t="shared" si="5"/>
        <v>61.076316383999995</v>
      </c>
      <c r="J23" s="345">
        <f t="shared" si="14"/>
        <v>187.24958999999998</v>
      </c>
      <c r="K23" s="345">
        <f t="shared" si="15"/>
        <v>373.75303679999996</v>
      </c>
      <c r="L23" s="345">
        <f t="shared" si="8"/>
        <v>1302.939603873</v>
      </c>
      <c r="M23" s="346">
        <f t="shared" si="16"/>
        <v>0.452409584678125</v>
      </c>
      <c r="P23" s="116">
        <v>400</v>
      </c>
      <c r="Q23" s="346">
        <v>0.36047238126718745</v>
      </c>
    </row>
    <row r="24" spans="1:17" ht="15">
      <c r="A24" s="116">
        <v>130</v>
      </c>
      <c r="B24" s="117">
        <f t="shared" si="0"/>
        <v>5.2</v>
      </c>
      <c r="C24" s="118">
        <v>6</v>
      </c>
      <c r="D24" s="117">
        <f t="shared" si="1"/>
        <v>11.2</v>
      </c>
      <c r="E24" s="345">
        <f t="shared" si="11"/>
        <v>285.022809792</v>
      </c>
      <c r="F24" s="345">
        <f t="shared" si="12"/>
        <v>62.281101903999996</v>
      </c>
      <c r="G24" s="345">
        <f t="shared" si="10"/>
        <v>311.36</v>
      </c>
      <c r="H24" s="345">
        <f t="shared" si="13"/>
        <v>47.4138105</v>
      </c>
      <c r="I24" s="345">
        <f t="shared" si="5"/>
        <v>66.16600941600001</v>
      </c>
      <c r="J24" s="345">
        <f t="shared" si="14"/>
        <v>202.85372249999998</v>
      </c>
      <c r="K24" s="345">
        <f t="shared" si="15"/>
        <v>404.89912319999996</v>
      </c>
      <c r="L24" s="345">
        <f t="shared" si="8"/>
        <v>1379.9965773119998</v>
      </c>
      <c r="M24" s="346">
        <f t="shared" si="16"/>
        <v>0.4423065952923076</v>
      </c>
      <c r="P24" s="116">
        <v>420</v>
      </c>
      <c r="Q24" s="346">
        <v>0.3585961118098214</v>
      </c>
    </row>
    <row r="25" spans="1:17" ht="15">
      <c r="A25" s="116">
        <v>140</v>
      </c>
      <c r="B25" s="117">
        <f t="shared" si="0"/>
        <v>5.6</v>
      </c>
      <c r="C25" s="118">
        <v>6</v>
      </c>
      <c r="D25" s="117">
        <f t="shared" si="1"/>
        <v>11.6</v>
      </c>
      <c r="E25" s="345">
        <f t="shared" si="11"/>
        <v>295.20219585599995</v>
      </c>
      <c r="F25" s="345">
        <f t="shared" si="12"/>
        <v>64.505426972</v>
      </c>
      <c r="G25" s="345">
        <f t="shared" si="10"/>
        <v>322.48</v>
      </c>
      <c r="H25" s="345">
        <f t="shared" si="13"/>
        <v>49.107160875</v>
      </c>
      <c r="I25" s="345">
        <f t="shared" si="5"/>
        <v>71.25570244799998</v>
      </c>
      <c r="J25" s="345">
        <f t="shared" si="14"/>
        <v>218.457855</v>
      </c>
      <c r="K25" s="345">
        <f t="shared" si="15"/>
        <v>436.0452095999999</v>
      </c>
      <c r="L25" s="345">
        <f t="shared" si="8"/>
        <v>1457.0535507509999</v>
      </c>
      <c r="M25" s="346">
        <f t="shared" si="16"/>
        <v>0.4336468901044642</v>
      </c>
      <c r="P25" s="116">
        <v>440</v>
      </c>
      <c r="Q25" s="346">
        <v>0.356890412303125</v>
      </c>
    </row>
    <row r="26" spans="1:17" ht="15">
      <c r="A26" s="116">
        <v>150</v>
      </c>
      <c r="B26" s="117">
        <f t="shared" si="0"/>
        <v>6</v>
      </c>
      <c r="C26" s="118">
        <v>6</v>
      </c>
      <c r="D26" s="117">
        <f t="shared" si="1"/>
        <v>12</v>
      </c>
      <c r="E26" s="345">
        <f t="shared" si="11"/>
        <v>305.38158192</v>
      </c>
      <c r="F26" s="345">
        <f t="shared" si="12"/>
        <v>66.72975204000001</v>
      </c>
      <c r="G26" s="345">
        <f t="shared" si="10"/>
        <v>333.6</v>
      </c>
      <c r="H26" s="345">
        <f t="shared" si="13"/>
        <v>50.80051125</v>
      </c>
      <c r="I26" s="345">
        <f t="shared" si="5"/>
        <v>76.34539548</v>
      </c>
      <c r="J26" s="345">
        <f t="shared" si="14"/>
        <v>234.0619875</v>
      </c>
      <c r="K26" s="345">
        <f t="shared" si="15"/>
        <v>467.19129599999997</v>
      </c>
      <c r="L26" s="345">
        <f t="shared" si="8"/>
        <v>1534.11052419</v>
      </c>
      <c r="M26" s="346">
        <f t="shared" si="16"/>
        <v>0.426141812275</v>
      </c>
      <c r="P26" s="116">
        <v>460</v>
      </c>
      <c r="Q26" s="346">
        <v>0.35533303449266296</v>
      </c>
    </row>
    <row r="27" spans="1:17" ht="15">
      <c r="A27" s="116">
        <v>160</v>
      </c>
      <c r="B27" s="117">
        <f t="shared" si="0"/>
        <v>6.4</v>
      </c>
      <c r="C27" s="118">
        <v>6</v>
      </c>
      <c r="D27" s="117">
        <f t="shared" si="1"/>
        <v>12.4</v>
      </c>
      <c r="E27" s="345">
        <f t="shared" si="11"/>
        <v>315.560967984</v>
      </c>
      <c r="F27" s="345">
        <f t="shared" si="12"/>
        <v>68.954077108</v>
      </c>
      <c r="G27" s="345">
        <f t="shared" si="10"/>
        <v>344.72</v>
      </c>
      <c r="H27" s="345">
        <f t="shared" si="13"/>
        <v>52.493861625</v>
      </c>
      <c r="I27" s="345">
        <f t="shared" si="5"/>
        <v>81.43508851200001</v>
      </c>
      <c r="J27" s="345">
        <f t="shared" si="14"/>
        <v>249.66611999999998</v>
      </c>
      <c r="K27" s="345">
        <f t="shared" si="15"/>
        <v>498.33738239999997</v>
      </c>
      <c r="L27" s="345">
        <f t="shared" si="8"/>
        <v>1611.167497629</v>
      </c>
      <c r="M27" s="346">
        <f t="shared" si="16"/>
        <v>0.4195748691742188</v>
      </c>
      <c r="P27" s="116">
        <v>480</v>
      </c>
      <c r="Q27" s="346">
        <v>0.3539054381664062</v>
      </c>
    </row>
    <row r="28" spans="1:17" ht="15.75" customHeight="1">
      <c r="A28" s="116">
        <v>170</v>
      </c>
      <c r="B28" s="117">
        <f t="shared" si="0"/>
        <v>6.8</v>
      </c>
      <c r="C28" s="118">
        <v>6</v>
      </c>
      <c r="D28" s="117">
        <f t="shared" si="1"/>
        <v>12.8</v>
      </c>
      <c r="E28" s="345">
        <f t="shared" si="11"/>
        <v>325.740354048</v>
      </c>
      <c r="F28" s="345">
        <f t="shared" si="12"/>
        <v>71.178402176</v>
      </c>
      <c r="G28" s="345">
        <f t="shared" si="10"/>
        <v>355.84000000000003</v>
      </c>
      <c r="H28" s="345">
        <f t="shared" si="13"/>
        <v>54.187212</v>
      </c>
      <c r="I28" s="345">
        <f t="shared" si="5"/>
        <v>86.52478154399998</v>
      </c>
      <c r="J28" s="345">
        <f t="shared" si="14"/>
        <v>265.27025249999997</v>
      </c>
      <c r="K28" s="345">
        <f t="shared" si="15"/>
        <v>529.4834688</v>
      </c>
      <c r="L28" s="345">
        <f t="shared" si="8"/>
        <v>1688.2244710680002</v>
      </c>
      <c r="M28" s="346">
        <f t="shared" si="16"/>
        <v>0.413780507614706</v>
      </c>
      <c r="P28" s="116">
        <v>500</v>
      </c>
      <c r="Q28" s="346">
        <v>0.35259204954624995</v>
      </c>
    </row>
    <row r="29" spans="1:13" ht="15" hidden="1">
      <c r="A29" s="116">
        <v>180</v>
      </c>
      <c r="B29" s="117">
        <f t="shared" si="0"/>
        <v>7.2</v>
      </c>
      <c r="C29" s="118">
        <v>6</v>
      </c>
      <c r="D29" s="117">
        <f t="shared" si="1"/>
        <v>13.2</v>
      </c>
      <c r="E29" s="345">
        <f t="shared" si="11"/>
        <v>335.91974011199994</v>
      </c>
      <c r="F29" s="345">
        <f t="shared" si="12"/>
        <v>73.40272724399999</v>
      </c>
      <c r="G29" s="345">
        <f t="shared" si="10"/>
        <v>366.96</v>
      </c>
      <c r="H29" s="345">
        <f t="shared" si="13"/>
        <v>55.880562375</v>
      </c>
      <c r="I29" s="345">
        <f t="shared" si="5"/>
        <v>91.61447457599999</v>
      </c>
      <c r="J29" s="345">
        <f t="shared" si="14"/>
        <v>280.87438499999996</v>
      </c>
      <c r="K29" s="345">
        <f t="shared" si="15"/>
        <v>560.6295551999999</v>
      </c>
      <c r="L29" s="345">
        <f t="shared" si="8"/>
        <v>1765.2814445069996</v>
      </c>
      <c r="M29" s="346">
        <f t="shared" si="16"/>
        <v>0.40862996400624996</v>
      </c>
    </row>
    <row r="30" spans="1:13" ht="15" hidden="1">
      <c r="A30" s="116">
        <v>190</v>
      </c>
      <c r="B30" s="117">
        <f t="shared" si="0"/>
        <v>7.6</v>
      </c>
      <c r="C30" s="118">
        <v>6</v>
      </c>
      <c r="D30" s="117">
        <f t="shared" si="1"/>
        <v>13.6</v>
      </c>
      <c r="E30" s="345">
        <f t="shared" si="11"/>
        <v>346.09912617599997</v>
      </c>
      <c r="F30" s="345">
        <f t="shared" si="12"/>
        <v>75.627052312</v>
      </c>
      <c r="G30" s="345">
        <f t="shared" si="10"/>
        <v>378.08</v>
      </c>
      <c r="H30" s="345">
        <f t="shared" si="13"/>
        <v>57.57391275</v>
      </c>
      <c r="I30" s="345">
        <f t="shared" si="5"/>
        <v>96.70416760799999</v>
      </c>
      <c r="J30" s="345">
        <f t="shared" si="14"/>
        <v>296.47851749999995</v>
      </c>
      <c r="K30" s="345">
        <f t="shared" si="15"/>
        <v>591.7756415999999</v>
      </c>
      <c r="L30" s="345">
        <f t="shared" si="8"/>
        <v>1842.3384179459995</v>
      </c>
      <c r="M30" s="346">
        <f t="shared" si="16"/>
        <v>0.40402158288289464</v>
      </c>
    </row>
    <row r="31" spans="1:13" ht="15" hidden="1">
      <c r="A31" s="116">
        <v>200</v>
      </c>
      <c r="B31" s="117">
        <f t="shared" si="0"/>
        <v>8</v>
      </c>
      <c r="C31" s="118">
        <v>6</v>
      </c>
      <c r="D31" s="117">
        <f t="shared" si="1"/>
        <v>14</v>
      </c>
      <c r="E31" s="345">
        <f t="shared" si="11"/>
        <v>356.27851224</v>
      </c>
      <c r="F31" s="345">
        <f t="shared" si="12"/>
        <v>77.85137738</v>
      </c>
      <c r="G31" s="345">
        <f t="shared" si="10"/>
        <v>389.2</v>
      </c>
      <c r="H31" s="345">
        <f t="shared" si="13"/>
        <v>59.267263125</v>
      </c>
      <c r="I31" s="345">
        <f t="shared" si="5"/>
        <v>101.79386064</v>
      </c>
      <c r="J31" s="345">
        <f t="shared" si="14"/>
        <v>312.08264999999994</v>
      </c>
      <c r="K31" s="345">
        <f t="shared" si="15"/>
        <v>622.9217279999999</v>
      </c>
      <c r="L31" s="345">
        <f t="shared" si="8"/>
        <v>1919.3953913849996</v>
      </c>
      <c r="M31" s="346">
        <f t="shared" si="16"/>
        <v>0.3998740398718749</v>
      </c>
    </row>
    <row r="32" spans="1:13" ht="15" hidden="1">
      <c r="A32" s="116">
        <v>210</v>
      </c>
      <c r="B32" s="117">
        <f t="shared" si="0"/>
        <v>8.4</v>
      </c>
      <c r="C32" s="118">
        <v>6</v>
      </c>
      <c r="D32" s="117">
        <f t="shared" si="1"/>
        <v>14.4</v>
      </c>
      <c r="E32" s="345">
        <f t="shared" si="11"/>
        <v>366.45789830399997</v>
      </c>
      <c r="F32" s="345">
        <f t="shared" si="12"/>
        <v>80.07570244800002</v>
      </c>
      <c r="G32" s="345">
        <f t="shared" si="10"/>
        <v>400.32</v>
      </c>
      <c r="H32" s="345">
        <f t="shared" si="13"/>
        <v>60.9606135</v>
      </c>
      <c r="I32" s="345">
        <f t="shared" si="5"/>
        <v>106.883553672</v>
      </c>
      <c r="J32" s="345">
        <f t="shared" si="14"/>
        <v>327.6867825</v>
      </c>
      <c r="K32" s="345">
        <f t="shared" si="15"/>
        <v>654.0678144</v>
      </c>
      <c r="L32" s="345">
        <f t="shared" si="8"/>
        <v>1996.4523648239997</v>
      </c>
      <c r="M32" s="346">
        <f t="shared" si="16"/>
        <v>0.39612150095714277</v>
      </c>
    </row>
    <row r="33" spans="1:13" ht="15" hidden="1">
      <c r="A33" s="116">
        <v>220</v>
      </c>
      <c r="B33" s="117">
        <f t="shared" si="0"/>
        <v>8.8</v>
      </c>
      <c r="C33" s="118">
        <v>6</v>
      </c>
      <c r="D33" s="117">
        <f t="shared" si="1"/>
        <v>14.8</v>
      </c>
      <c r="E33" s="345">
        <f t="shared" si="11"/>
        <v>376.637284368</v>
      </c>
      <c r="F33" s="345">
        <f t="shared" si="12"/>
        <v>82.300027516</v>
      </c>
      <c r="G33" s="345">
        <f t="shared" si="10"/>
        <v>411.44000000000005</v>
      </c>
      <c r="H33" s="345">
        <f t="shared" si="13"/>
        <v>62.653963875</v>
      </c>
      <c r="I33" s="345">
        <f t="shared" si="5"/>
        <v>111.973246704</v>
      </c>
      <c r="J33" s="345">
        <f t="shared" si="14"/>
        <v>343.290915</v>
      </c>
      <c r="K33" s="345">
        <f t="shared" si="15"/>
        <v>685.2139007999999</v>
      </c>
      <c r="L33" s="345">
        <f t="shared" si="8"/>
        <v>2073.5093382630002</v>
      </c>
      <c r="M33" s="346">
        <f t="shared" si="16"/>
        <v>0.39271010194375</v>
      </c>
    </row>
    <row r="34" spans="1:13" ht="15" hidden="1">
      <c r="A34" s="116">
        <v>230</v>
      </c>
      <c r="B34" s="117">
        <f t="shared" si="0"/>
        <v>9.2</v>
      </c>
      <c r="C34" s="118">
        <v>6</v>
      </c>
      <c r="D34" s="117">
        <f t="shared" si="1"/>
        <v>15.2</v>
      </c>
      <c r="E34" s="345">
        <f t="shared" si="11"/>
        <v>386.81667043199997</v>
      </c>
      <c r="F34" s="345">
        <f t="shared" si="12"/>
        <v>84.524352584</v>
      </c>
      <c r="G34" s="345">
        <f t="shared" si="10"/>
        <v>422.56</v>
      </c>
      <c r="H34" s="345">
        <f t="shared" si="13"/>
        <v>64.34731425</v>
      </c>
      <c r="I34" s="345">
        <f t="shared" si="5"/>
        <v>117.06293973599998</v>
      </c>
      <c r="J34" s="345">
        <f t="shared" si="14"/>
        <v>358.8950475</v>
      </c>
      <c r="K34" s="345">
        <f t="shared" si="15"/>
        <v>716.3599871999999</v>
      </c>
      <c r="L34" s="345">
        <f t="shared" si="8"/>
        <v>2150.5663117019994</v>
      </c>
      <c r="M34" s="346">
        <f t="shared" si="16"/>
        <v>0.389595346322826</v>
      </c>
    </row>
    <row r="35" spans="1:13" ht="15" hidden="1">
      <c r="A35" s="116">
        <v>240</v>
      </c>
      <c r="B35" s="117">
        <f t="shared" si="0"/>
        <v>9.6</v>
      </c>
      <c r="C35" s="118">
        <v>6</v>
      </c>
      <c r="D35" s="117">
        <f t="shared" si="1"/>
        <v>15.6</v>
      </c>
      <c r="E35" s="345">
        <f t="shared" si="11"/>
        <v>396.99605649599994</v>
      </c>
      <c r="F35" s="345">
        <f t="shared" si="12"/>
        <v>86.748677652</v>
      </c>
      <c r="G35" s="345">
        <f t="shared" si="10"/>
        <v>433.68</v>
      </c>
      <c r="H35" s="345">
        <f t="shared" si="13"/>
        <v>66.04066462499999</v>
      </c>
      <c r="I35" s="345">
        <f t="shared" si="5"/>
        <v>122.15263276799998</v>
      </c>
      <c r="J35" s="345">
        <f t="shared" si="14"/>
        <v>374.49917999999997</v>
      </c>
      <c r="K35" s="345">
        <f t="shared" si="15"/>
        <v>747.5060735999999</v>
      </c>
      <c r="L35" s="345">
        <f t="shared" si="8"/>
        <v>2227.623285141</v>
      </c>
      <c r="M35" s="346">
        <f t="shared" si="16"/>
        <v>0.3867401536703125</v>
      </c>
    </row>
    <row r="36" spans="1:13" ht="15" hidden="1">
      <c r="A36" s="116">
        <v>250</v>
      </c>
      <c r="B36" s="117">
        <f t="shared" si="0"/>
        <v>10</v>
      </c>
      <c r="C36" s="118">
        <v>6</v>
      </c>
      <c r="D36" s="117">
        <f t="shared" si="1"/>
        <v>16</v>
      </c>
      <c r="E36" s="345">
        <f t="shared" si="11"/>
        <v>407.17544255999996</v>
      </c>
      <c r="F36" s="345">
        <f t="shared" si="12"/>
        <v>88.97300272000001</v>
      </c>
      <c r="G36" s="345">
        <f t="shared" si="10"/>
        <v>444.8</v>
      </c>
      <c r="H36" s="345">
        <f t="shared" si="13"/>
        <v>67.734015</v>
      </c>
      <c r="I36" s="345">
        <f t="shared" si="5"/>
        <v>127.24232579999999</v>
      </c>
      <c r="J36" s="345">
        <f t="shared" si="14"/>
        <v>390.10331249999996</v>
      </c>
      <c r="K36" s="345">
        <f t="shared" si="15"/>
        <v>778.6521599999999</v>
      </c>
      <c r="L36" s="345">
        <f t="shared" si="8"/>
        <v>2304.6802585799996</v>
      </c>
      <c r="M36" s="346">
        <f t="shared" si="16"/>
        <v>0.38411337643</v>
      </c>
    </row>
    <row r="37" spans="1:13" ht="15" hidden="1">
      <c r="A37" s="116">
        <v>260</v>
      </c>
      <c r="B37" s="117">
        <f t="shared" si="0"/>
        <v>10.4</v>
      </c>
      <c r="C37" s="118">
        <v>6</v>
      </c>
      <c r="D37" s="117">
        <f t="shared" si="1"/>
        <v>16.4</v>
      </c>
      <c r="E37" s="345">
        <f t="shared" si="11"/>
        <v>417.35482862399994</v>
      </c>
      <c r="F37" s="345">
        <f t="shared" si="12"/>
        <v>91.197327788</v>
      </c>
      <c r="G37" s="345">
        <f t="shared" si="10"/>
        <v>455.91999999999996</v>
      </c>
      <c r="H37" s="345">
        <f t="shared" si="13"/>
        <v>69.427365375</v>
      </c>
      <c r="I37" s="345">
        <f t="shared" si="5"/>
        <v>132.332018832</v>
      </c>
      <c r="J37" s="345">
        <f t="shared" si="14"/>
        <v>405.70744499999995</v>
      </c>
      <c r="K37" s="345">
        <f t="shared" si="15"/>
        <v>809.7982463999999</v>
      </c>
      <c r="L37" s="345">
        <f t="shared" si="8"/>
        <v>2381.7372320189997</v>
      </c>
      <c r="M37" s="346">
        <f t="shared" si="16"/>
        <v>0.38168865897740384</v>
      </c>
    </row>
    <row r="38" spans="1:13" ht="15" hidden="1">
      <c r="A38" s="116">
        <v>280</v>
      </c>
      <c r="B38" s="117">
        <f t="shared" si="0"/>
        <v>11.2</v>
      </c>
      <c r="C38" s="118">
        <v>6</v>
      </c>
      <c r="D38" s="117">
        <f t="shared" si="1"/>
        <v>17.2</v>
      </c>
      <c r="E38" s="345">
        <f t="shared" si="11"/>
        <v>437.71360075199993</v>
      </c>
      <c r="F38" s="345">
        <f t="shared" si="12"/>
        <v>95.64597792400001</v>
      </c>
      <c r="G38" s="345">
        <f t="shared" si="10"/>
        <v>478.15999999999997</v>
      </c>
      <c r="H38" s="345">
        <f t="shared" si="13"/>
        <v>72.814066125</v>
      </c>
      <c r="I38" s="345">
        <f t="shared" si="5"/>
        <v>142.511404896</v>
      </c>
      <c r="J38" s="345">
        <f t="shared" si="14"/>
        <v>436.91571</v>
      </c>
      <c r="K38" s="345">
        <f t="shared" si="15"/>
        <v>872.0904191999998</v>
      </c>
      <c r="L38" s="345">
        <f t="shared" si="8"/>
        <v>2535.851178897</v>
      </c>
      <c r="M38" s="346">
        <f t="shared" si="16"/>
        <v>0.3773588063834821</v>
      </c>
    </row>
    <row r="39" spans="1:13" ht="15" hidden="1">
      <c r="A39" s="116">
        <v>300</v>
      </c>
      <c r="B39" s="117">
        <f t="shared" si="0"/>
        <v>12</v>
      </c>
      <c r="C39" s="118">
        <v>6</v>
      </c>
      <c r="D39" s="117">
        <f t="shared" si="1"/>
        <v>18</v>
      </c>
      <c r="E39" s="345">
        <f t="shared" si="11"/>
        <v>458.07237288</v>
      </c>
      <c r="F39" s="345">
        <f t="shared" si="12"/>
        <v>100.09462806</v>
      </c>
      <c r="G39" s="345">
        <f t="shared" si="10"/>
        <v>500.40000000000003</v>
      </c>
      <c r="H39" s="345">
        <f t="shared" si="13"/>
        <v>76.200766875</v>
      </c>
      <c r="I39" s="345">
        <f t="shared" si="5"/>
        <v>152.69079096000002</v>
      </c>
      <c r="J39" s="345">
        <f t="shared" si="14"/>
        <v>468.123975</v>
      </c>
      <c r="K39" s="345">
        <f t="shared" si="15"/>
        <v>934.3825919999999</v>
      </c>
      <c r="L39" s="345">
        <f t="shared" si="8"/>
        <v>2689.965125775</v>
      </c>
      <c r="M39" s="346">
        <f t="shared" si="16"/>
        <v>0.37360626746875003</v>
      </c>
    </row>
    <row r="40" spans="1:13" ht="15" hidden="1">
      <c r="A40" s="116">
        <v>320</v>
      </c>
      <c r="B40" s="117">
        <f t="shared" si="0"/>
        <v>12.8</v>
      </c>
      <c r="C40" s="118">
        <v>6</v>
      </c>
      <c r="D40" s="117">
        <f t="shared" si="1"/>
        <v>18.8</v>
      </c>
      <c r="E40" s="345">
        <f t="shared" si="11"/>
        <v>478.431145008</v>
      </c>
      <c r="F40" s="345">
        <f t="shared" si="12"/>
        <v>104.54327819600002</v>
      </c>
      <c r="G40" s="345">
        <f t="shared" si="10"/>
        <v>522.64</v>
      </c>
      <c r="H40" s="345">
        <f t="shared" si="13"/>
        <v>79.587467625</v>
      </c>
      <c r="I40" s="345">
        <f t="shared" si="5"/>
        <v>162.870177024</v>
      </c>
      <c r="J40" s="345">
        <f t="shared" si="14"/>
        <v>499.33223999999996</v>
      </c>
      <c r="K40" s="345">
        <f t="shared" si="15"/>
        <v>996.6747647999999</v>
      </c>
      <c r="L40" s="345">
        <f t="shared" si="8"/>
        <v>2844.079072653</v>
      </c>
      <c r="M40" s="346">
        <f t="shared" si="16"/>
        <v>0.37032279591835937</v>
      </c>
    </row>
    <row r="41" spans="1:13" ht="15" hidden="1">
      <c r="A41" s="116">
        <v>340</v>
      </c>
      <c r="B41" s="117">
        <f t="shared" si="0"/>
        <v>13.6</v>
      </c>
      <c r="C41" s="118">
        <v>6</v>
      </c>
      <c r="D41" s="117">
        <f t="shared" si="1"/>
        <v>19.6</v>
      </c>
      <c r="E41" s="345">
        <f t="shared" si="11"/>
        <v>498.789917136</v>
      </c>
      <c r="F41" s="345">
        <f t="shared" si="12"/>
        <v>108.99192833200001</v>
      </c>
      <c r="G41" s="345">
        <f t="shared" si="10"/>
        <v>544.8800000000001</v>
      </c>
      <c r="H41" s="345">
        <f t="shared" si="13"/>
        <v>82.974168375</v>
      </c>
      <c r="I41" s="345">
        <f t="shared" si="5"/>
        <v>173.04956308799999</v>
      </c>
      <c r="J41" s="345">
        <f t="shared" si="14"/>
        <v>530.5405049999999</v>
      </c>
      <c r="K41" s="345">
        <f t="shared" si="15"/>
        <v>1058.9669376</v>
      </c>
      <c r="L41" s="345">
        <f t="shared" si="8"/>
        <v>2998.193019531</v>
      </c>
      <c r="M41" s="346">
        <f t="shared" si="16"/>
        <v>0.36742561513860295</v>
      </c>
    </row>
    <row r="42" spans="1:13" ht="15" hidden="1">
      <c r="A42" s="116">
        <v>360</v>
      </c>
      <c r="B42" s="117">
        <f t="shared" si="0"/>
        <v>14.4</v>
      </c>
      <c r="C42" s="118">
        <v>6</v>
      </c>
      <c r="D42" s="117">
        <f t="shared" si="1"/>
        <v>20.4</v>
      </c>
      <c r="E42" s="345">
        <f t="shared" si="11"/>
        <v>519.1486892639999</v>
      </c>
      <c r="F42" s="345">
        <f t="shared" si="12"/>
        <v>113.440578468</v>
      </c>
      <c r="G42" s="345">
        <f t="shared" si="10"/>
        <v>567.12</v>
      </c>
      <c r="H42" s="345">
        <f t="shared" si="13"/>
        <v>86.360869125</v>
      </c>
      <c r="I42" s="345">
        <f t="shared" si="5"/>
        <v>183.22894915199998</v>
      </c>
      <c r="J42" s="345">
        <f t="shared" si="14"/>
        <v>561.7487699999999</v>
      </c>
      <c r="K42" s="345">
        <f t="shared" si="15"/>
        <v>1121.2591103999998</v>
      </c>
      <c r="L42" s="345">
        <f t="shared" si="8"/>
        <v>3152.306966409</v>
      </c>
      <c r="M42" s="346">
        <f t="shared" si="16"/>
        <v>0.364850343334375</v>
      </c>
    </row>
    <row r="43" spans="1:13" ht="15" hidden="1">
      <c r="A43" s="116">
        <v>380</v>
      </c>
      <c r="B43" s="117">
        <f t="shared" si="0"/>
        <v>15.2</v>
      </c>
      <c r="C43" s="118">
        <v>6</v>
      </c>
      <c r="D43" s="117">
        <f t="shared" si="1"/>
        <v>21.2</v>
      </c>
      <c r="E43" s="345">
        <f t="shared" si="11"/>
        <v>539.507461392</v>
      </c>
      <c r="F43" s="345">
        <f t="shared" si="12"/>
        <v>117.88922860400001</v>
      </c>
      <c r="G43" s="345">
        <f t="shared" si="10"/>
        <v>589.36</v>
      </c>
      <c r="H43" s="345">
        <f t="shared" si="13"/>
        <v>89.747569875</v>
      </c>
      <c r="I43" s="345">
        <f t="shared" si="5"/>
        <v>193.408335216</v>
      </c>
      <c r="J43" s="345">
        <f t="shared" si="14"/>
        <v>592.9570349999999</v>
      </c>
      <c r="K43" s="345">
        <f t="shared" si="15"/>
        <v>1183.5512831999997</v>
      </c>
      <c r="L43" s="345">
        <f t="shared" si="8"/>
        <v>3306.420913286999</v>
      </c>
      <c r="M43" s="346">
        <f t="shared" si="16"/>
        <v>0.3625461527726973</v>
      </c>
    </row>
    <row r="44" spans="1:13" ht="15" hidden="1">
      <c r="A44" s="116">
        <v>400</v>
      </c>
      <c r="B44" s="117">
        <f t="shared" si="0"/>
        <v>16</v>
      </c>
      <c r="C44" s="118">
        <v>6</v>
      </c>
      <c r="D44" s="117">
        <f t="shared" si="1"/>
        <v>22</v>
      </c>
      <c r="E44" s="345">
        <f t="shared" si="11"/>
        <v>559.8662335199999</v>
      </c>
      <c r="F44" s="345">
        <f t="shared" si="12"/>
        <v>122.33787874</v>
      </c>
      <c r="G44" s="345">
        <f t="shared" si="10"/>
        <v>611.6</v>
      </c>
      <c r="H44" s="345">
        <f t="shared" si="13"/>
        <v>93.134270625</v>
      </c>
      <c r="I44" s="345">
        <f t="shared" si="5"/>
        <v>203.58772127999998</v>
      </c>
      <c r="J44" s="345">
        <f t="shared" si="14"/>
        <v>624.1652999999999</v>
      </c>
      <c r="K44" s="345">
        <f t="shared" si="15"/>
        <v>1245.8434559999998</v>
      </c>
      <c r="L44" s="345">
        <f t="shared" si="8"/>
        <v>3460.5348601649994</v>
      </c>
      <c r="M44" s="346">
        <f t="shared" si="16"/>
        <v>0.36047238126718745</v>
      </c>
    </row>
    <row r="45" spans="1:13" ht="15" hidden="1">
      <c r="A45" s="116">
        <v>420</v>
      </c>
      <c r="B45" s="117">
        <f t="shared" si="0"/>
        <v>16.8</v>
      </c>
      <c r="C45" s="118">
        <v>6</v>
      </c>
      <c r="D45" s="117">
        <f t="shared" si="1"/>
        <v>22.8</v>
      </c>
      <c r="E45" s="345">
        <f t="shared" si="11"/>
        <v>580.225005648</v>
      </c>
      <c r="F45" s="345">
        <f t="shared" si="12"/>
        <v>126.786528876</v>
      </c>
      <c r="G45" s="345">
        <f t="shared" si="10"/>
        <v>633.84</v>
      </c>
      <c r="H45" s="345">
        <f t="shared" si="13"/>
        <v>96.520971375</v>
      </c>
      <c r="I45" s="345">
        <f t="shared" si="5"/>
        <v>213.767107344</v>
      </c>
      <c r="J45" s="345">
        <f t="shared" si="14"/>
        <v>655.373565</v>
      </c>
      <c r="K45" s="345">
        <f t="shared" si="15"/>
        <v>1308.1356288</v>
      </c>
      <c r="L45" s="345">
        <f t="shared" si="8"/>
        <v>3614.6488070429996</v>
      </c>
      <c r="M45" s="346">
        <f t="shared" si="16"/>
        <v>0.3585961118098214</v>
      </c>
    </row>
    <row r="46" spans="1:13" ht="15" hidden="1">
      <c r="A46" s="116">
        <v>440</v>
      </c>
      <c r="B46" s="117">
        <f t="shared" si="0"/>
        <v>17.6</v>
      </c>
      <c r="C46" s="118">
        <v>6</v>
      </c>
      <c r="D46" s="117">
        <f t="shared" si="1"/>
        <v>23.6</v>
      </c>
      <c r="E46" s="345">
        <f t="shared" si="11"/>
        <v>600.583777776</v>
      </c>
      <c r="F46" s="345">
        <f t="shared" si="12"/>
        <v>131.235179012</v>
      </c>
      <c r="G46" s="345">
        <f t="shared" si="10"/>
        <v>656.08</v>
      </c>
      <c r="H46" s="345">
        <f t="shared" si="13"/>
        <v>99.907672125</v>
      </c>
      <c r="I46" s="345">
        <f t="shared" si="5"/>
        <v>223.946493408</v>
      </c>
      <c r="J46" s="345">
        <f t="shared" si="14"/>
        <v>686.58183</v>
      </c>
      <c r="K46" s="345">
        <f t="shared" si="15"/>
        <v>1370.4278015999998</v>
      </c>
      <c r="L46" s="345">
        <f t="shared" si="8"/>
        <v>3768.762753921</v>
      </c>
      <c r="M46" s="346">
        <f t="shared" si="16"/>
        <v>0.356890412303125</v>
      </c>
    </row>
    <row r="47" spans="1:13" ht="15" hidden="1">
      <c r="A47" s="116">
        <v>460</v>
      </c>
      <c r="B47" s="117">
        <f t="shared" si="0"/>
        <v>18.4</v>
      </c>
      <c r="C47" s="118">
        <v>6</v>
      </c>
      <c r="D47" s="117">
        <f t="shared" si="1"/>
        <v>24.4</v>
      </c>
      <c r="E47" s="345">
        <f t="shared" si="11"/>
        <v>620.942549904</v>
      </c>
      <c r="F47" s="345">
        <f t="shared" si="12"/>
        <v>135.683829148</v>
      </c>
      <c r="G47" s="345">
        <f t="shared" si="10"/>
        <v>678.3199999999999</v>
      </c>
      <c r="H47" s="345">
        <f t="shared" si="13"/>
        <v>103.294372875</v>
      </c>
      <c r="I47" s="345">
        <f t="shared" si="5"/>
        <v>234.12587947199998</v>
      </c>
      <c r="J47" s="345">
        <f t="shared" si="14"/>
        <v>717.790095</v>
      </c>
      <c r="K47" s="345">
        <f t="shared" si="15"/>
        <v>1432.7199743999997</v>
      </c>
      <c r="L47" s="345">
        <f t="shared" si="8"/>
        <v>3922.876700798999</v>
      </c>
      <c r="M47" s="346">
        <f t="shared" si="16"/>
        <v>0.35533303449266296</v>
      </c>
    </row>
    <row r="48" spans="1:13" ht="15" hidden="1">
      <c r="A48" s="116">
        <v>480</v>
      </c>
      <c r="B48" s="117">
        <f t="shared" si="0"/>
        <v>19.2</v>
      </c>
      <c r="C48" s="118">
        <v>6</v>
      </c>
      <c r="D48" s="117">
        <f t="shared" si="1"/>
        <v>25.2</v>
      </c>
      <c r="E48" s="345">
        <f t="shared" si="11"/>
        <v>641.3013220319999</v>
      </c>
      <c r="F48" s="345">
        <f t="shared" si="12"/>
        <v>140.132479284</v>
      </c>
      <c r="G48" s="345">
        <f t="shared" si="10"/>
        <v>700.56</v>
      </c>
      <c r="H48" s="345">
        <f t="shared" si="13"/>
        <v>106.681073625</v>
      </c>
      <c r="I48" s="345">
        <f t="shared" si="5"/>
        <v>244.30526553599998</v>
      </c>
      <c r="J48" s="345">
        <f t="shared" si="14"/>
        <v>748.9983599999999</v>
      </c>
      <c r="K48" s="345">
        <f t="shared" si="15"/>
        <v>1495.0121471999998</v>
      </c>
      <c r="L48" s="345">
        <f t="shared" si="8"/>
        <v>4076.9906476769993</v>
      </c>
      <c r="M48" s="346">
        <f t="shared" si="16"/>
        <v>0.3539054381664062</v>
      </c>
    </row>
    <row r="49" spans="1:13" ht="15" hidden="1">
      <c r="A49" s="116">
        <v>500</v>
      </c>
      <c r="B49" s="117">
        <f t="shared" si="0"/>
        <v>20</v>
      </c>
      <c r="C49" s="118">
        <v>6</v>
      </c>
      <c r="D49" s="117">
        <f t="shared" si="1"/>
        <v>26</v>
      </c>
      <c r="E49" s="345">
        <f t="shared" si="11"/>
        <v>661.66009416</v>
      </c>
      <c r="F49" s="345">
        <f t="shared" si="12"/>
        <v>144.58112942000002</v>
      </c>
      <c r="G49" s="345">
        <f t="shared" si="10"/>
        <v>722.8000000000001</v>
      </c>
      <c r="H49" s="345">
        <f t="shared" si="13"/>
        <v>110.067774375</v>
      </c>
      <c r="I49" s="345">
        <f t="shared" si="5"/>
        <v>254.48465159999998</v>
      </c>
      <c r="J49" s="345">
        <f t="shared" si="14"/>
        <v>780.2066249999999</v>
      </c>
      <c r="K49" s="345">
        <f t="shared" si="15"/>
        <v>1557.3043199999997</v>
      </c>
      <c r="L49" s="345">
        <f t="shared" si="8"/>
        <v>4231.1045945549995</v>
      </c>
      <c r="M49" s="346">
        <f t="shared" si="16"/>
        <v>0.35259204954624995</v>
      </c>
    </row>
    <row r="50" spans="2:17" ht="15" hidden="1">
      <c r="B50" s="112">
        <f>SUM(B8:B49)</f>
        <v>332.4</v>
      </c>
      <c r="C50" s="344">
        <f aca="true" t="shared" si="17" ref="C50:L50">SUM(C8:C49)</f>
        <v>220.5</v>
      </c>
      <c r="D50" s="344">
        <f t="shared" si="17"/>
        <v>552.9</v>
      </c>
      <c r="E50" s="344">
        <f t="shared" si="17"/>
        <v>14097.612206148307</v>
      </c>
      <c r="F50" s="344">
        <f t="shared" si="17"/>
        <v>3054.312373417725</v>
      </c>
      <c r="G50" s="344">
        <f t="shared" si="17"/>
        <v>15370.619999999999</v>
      </c>
      <c r="H50" s="344">
        <f t="shared" si="17"/>
        <v>2340.6335558437504</v>
      </c>
      <c r="I50" s="344">
        <f t="shared" si="17"/>
        <v>4233.4277451354</v>
      </c>
      <c r="J50" s="344">
        <f t="shared" si="17"/>
        <v>12655.4853384</v>
      </c>
      <c r="K50" s="344">
        <f t="shared" si="17"/>
        <v>25734.27692159999</v>
      </c>
      <c r="L50" s="344">
        <f t="shared" si="17"/>
        <v>77486.36814054516</v>
      </c>
      <c r="M50" s="344">
        <f>SUM(M8:M49)</f>
        <v>24.9993374777266</v>
      </c>
      <c r="Q50" s="348"/>
    </row>
    <row r="51" spans="2:17" ht="15" hidden="1">
      <c r="B51" s="112">
        <v>332.4</v>
      </c>
      <c r="C51" s="344">
        <v>220.5</v>
      </c>
      <c r="D51" s="344">
        <v>552.9</v>
      </c>
      <c r="E51" s="344">
        <v>7260.32405727</v>
      </c>
      <c r="F51" s="344">
        <v>1411.7296778025002</v>
      </c>
      <c r="G51" s="344">
        <v>1774.2561</v>
      </c>
      <c r="H51" s="344">
        <v>595.058625</v>
      </c>
      <c r="I51" s="344">
        <v>2190.91006386</v>
      </c>
      <c r="J51" s="344">
        <v>5395.168709999998</v>
      </c>
      <c r="K51" s="344">
        <v>11251.940543999995</v>
      </c>
      <c r="L51" s="344">
        <v>29879.387777932512</v>
      </c>
      <c r="M51" s="344">
        <v>6.97636536332065</v>
      </c>
      <c r="Q51" s="348"/>
    </row>
    <row r="52" ht="15">
      <c r="Q52" s="348"/>
    </row>
    <row r="53" ht="15">
      <c r="Q53" s="348"/>
    </row>
    <row r="54" ht="15">
      <c r="Q54" s="348"/>
    </row>
    <row r="55" ht="15">
      <c r="Q55" s="348"/>
    </row>
    <row r="56" ht="15">
      <c r="Q56" s="348"/>
    </row>
    <row r="57" ht="15">
      <c r="Q57" s="348"/>
    </row>
    <row r="58" ht="15">
      <c r="Q58" s="348"/>
    </row>
    <row r="59" ht="15">
      <c r="Q59" s="348"/>
    </row>
    <row r="60" ht="15">
      <c r="Q60" s="348"/>
    </row>
    <row r="61" ht="15">
      <c r="Q61" s="348"/>
    </row>
    <row r="62" ht="15">
      <c r="Q62" s="348"/>
    </row>
    <row r="63" ht="15">
      <c r="Q63" s="348"/>
    </row>
    <row r="64" ht="15">
      <c r="Q64" s="348"/>
    </row>
    <row r="65" ht="15">
      <c r="Q65" s="348"/>
    </row>
    <row r="66" ht="15">
      <c r="Q66" s="348"/>
    </row>
    <row r="67" ht="15">
      <c r="Q67" s="348"/>
    </row>
    <row r="68" ht="15">
      <c r="Q68" s="348"/>
    </row>
    <row r="69" ht="15">
      <c r="Q69" s="348"/>
    </row>
    <row r="70" ht="15">
      <c r="Q70" s="348"/>
    </row>
    <row r="71" ht="15">
      <c r="Q71" s="348"/>
    </row>
    <row r="72" ht="15">
      <c r="Q72" s="348"/>
    </row>
    <row r="73" ht="15">
      <c r="Q73" s="348"/>
    </row>
    <row r="74" ht="15">
      <c r="Q74" s="348"/>
    </row>
    <row r="75" ht="15">
      <c r="Q75" s="348"/>
    </row>
    <row r="76" ht="15">
      <c r="Q76" s="348"/>
    </row>
    <row r="77" ht="15">
      <c r="Q77" s="348"/>
    </row>
    <row r="78" ht="15">
      <c r="Q78" s="348"/>
    </row>
    <row r="79" ht="15">
      <c r="Q79" s="348"/>
    </row>
    <row r="80" ht="15">
      <c r="Q80" s="348"/>
    </row>
    <row r="81" ht="15">
      <c r="Q81" s="348"/>
    </row>
    <row r="82" ht="15">
      <c r="Q82" s="348"/>
    </row>
    <row r="83" ht="15">
      <c r="Q83" s="348"/>
    </row>
    <row r="84" ht="15">
      <c r="Q84" s="348"/>
    </row>
    <row r="85" ht="15">
      <c r="Q85" s="348"/>
    </row>
    <row r="86" ht="15">
      <c r="Q86" s="348"/>
    </row>
    <row r="87" ht="15">
      <c r="Q87" s="348"/>
    </row>
    <row r="88" ht="15">
      <c r="Q88" s="348"/>
    </row>
    <row r="89" ht="15">
      <c r="Q89" s="348"/>
    </row>
    <row r="90" ht="15">
      <c r="Q90" s="348"/>
    </row>
    <row r="91" ht="15">
      <c r="Q91" s="348"/>
    </row>
    <row r="92" ht="15">
      <c r="Q92" s="348"/>
    </row>
    <row r="93" ht="15">
      <c r="Q93" s="348"/>
    </row>
  </sheetData>
  <printOptions horizontalCentered="1"/>
  <pageMargins left="0.56" right="0.43" top="1.33" bottom="0.18" header="0" footer="0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="65" zoomScaleNormal="65" workbookViewId="0" topLeftCell="C1">
      <selection activeCell="Q13" sqref="Q13"/>
    </sheetView>
  </sheetViews>
  <sheetFormatPr defaultColWidth="6.796875" defaultRowHeight="12.75" customHeight="1"/>
  <cols>
    <col min="1" max="1" width="6.09765625" style="19" customWidth="1"/>
    <col min="2" max="2" width="21.3984375" style="19" customWidth="1"/>
    <col min="3" max="3" width="9.19921875" style="19" customWidth="1"/>
    <col min="4" max="4" width="8.59765625" style="19" customWidth="1"/>
    <col min="5" max="5" width="7.296875" style="19" customWidth="1"/>
    <col min="6" max="6" width="4.8984375" style="19" customWidth="1"/>
    <col min="7" max="7" width="6.3984375" style="19" customWidth="1"/>
    <col min="8" max="8" width="6" style="19" customWidth="1"/>
    <col min="9" max="9" width="5.3984375" style="19" customWidth="1"/>
    <col min="10" max="10" width="6.09765625" style="19" customWidth="1"/>
    <col min="11" max="11" width="6.3984375" style="19" customWidth="1"/>
    <col min="12" max="16" width="6.59765625" style="19" customWidth="1"/>
    <col min="17" max="17" width="7.8984375" style="19" customWidth="1"/>
    <col min="18" max="21" width="6.59765625" style="19" customWidth="1"/>
    <col min="22" max="22" width="29.296875" style="19" hidden="1" customWidth="1"/>
    <col min="23" max="23" width="6.59765625" style="19" hidden="1" customWidth="1"/>
    <col min="24" max="16384" width="6.59765625" style="19" customWidth="1"/>
  </cols>
  <sheetData>
    <row r="1" spans="1:17" ht="20.25" customHeight="1">
      <c r="A1" s="392" t="s">
        <v>1066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17" ht="21.75" customHeight="1">
      <c r="A2" s="412" t="s">
        <v>823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2:17" ht="17.25" customHeight="1" thickBot="1">
      <c r="B3" s="20"/>
      <c r="C3" s="20"/>
      <c r="D3" s="20"/>
      <c r="E3" s="20"/>
      <c r="F3" s="20"/>
      <c r="G3" s="20"/>
      <c r="H3" s="20"/>
      <c r="I3" s="20"/>
      <c r="J3" s="20"/>
      <c r="K3" s="21"/>
      <c r="P3" s="37" t="s">
        <v>982</v>
      </c>
      <c r="Q3" s="19" t="str">
        <f>Fecha</f>
        <v>JUN/10</v>
      </c>
    </row>
    <row r="4" spans="1:22" ht="12.75" customHeight="1" thickBot="1">
      <c r="A4" s="409" t="s">
        <v>841</v>
      </c>
      <c r="B4" s="403" t="s">
        <v>824</v>
      </c>
      <c r="C4" s="403" t="s">
        <v>825</v>
      </c>
      <c r="D4" s="403" t="s">
        <v>826</v>
      </c>
      <c r="E4" s="403" t="s">
        <v>827</v>
      </c>
      <c r="F4" s="403" t="s">
        <v>828</v>
      </c>
      <c r="G4" s="403" t="s">
        <v>829</v>
      </c>
      <c r="H4" s="398" t="s">
        <v>830</v>
      </c>
      <c r="I4" s="399"/>
      <c r="J4" s="398" t="s">
        <v>831</v>
      </c>
      <c r="K4" s="399"/>
      <c r="L4" s="400" t="s">
        <v>832</v>
      </c>
      <c r="M4" s="401"/>
      <c r="N4" s="401"/>
      <c r="O4" s="401"/>
      <c r="P4" s="402"/>
      <c r="Q4" s="396" t="s">
        <v>833</v>
      </c>
      <c r="V4" s="26" t="s">
        <v>950</v>
      </c>
    </row>
    <row r="5" spans="1:23" ht="29.25" customHeight="1">
      <c r="A5" s="410"/>
      <c r="B5" s="407"/>
      <c r="C5" s="404"/>
      <c r="D5" s="404"/>
      <c r="E5" s="404"/>
      <c r="F5" s="404"/>
      <c r="G5" s="404"/>
      <c r="H5" s="46" t="s">
        <v>875</v>
      </c>
      <c r="I5" s="46" t="s">
        <v>834</v>
      </c>
      <c r="J5" s="46" t="s">
        <v>876</v>
      </c>
      <c r="K5" s="46" t="s">
        <v>835</v>
      </c>
      <c r="L5" s="46" t="s">
        <v>836</v>
      </c>
      <c r="M5" s="47" t="s">
        <v>837</v>
      </c>
      <c r="N5" s="47" t="s">
        <v>838</v>
      </c>
      <c r="O5" s="47" t="s">
        <v>839</v>
      </c>
      <c r="P5" s="47" t="s">
        <v>840</v>
      </c>
      <c r="Q5" s="397"/>
      <c r="V5" s="405" t="s">
        <v>951</v>
      </c>
      <c r="W5" s="27" t="s">
        <v>826</v>
      </c>
    </row>
    <row r="6" spans="1:23" ht="15" customHeight="1" thickBot="1">
      <c r="A6" s="411"/>
      <c r="B6" s="408"/>
      <c r="C6" s="48" t="s">
        <v>699</v>
      </c>
      <c r="D6" s="48" t="s">
        <v>877</v>
      </c>
      <c r="E6" s="48" t="s">
        <v>878</v>
      </c>
      <c r="F6" s="48" t="s">
        <v>699</v>
      </c>
      <c r="G6" s="48" t="s">
        <v>579</v>
      </c>
      <c r="H6" s="48" t="s">
        <v>589</v>
      </c>
      <c r="I6" s="48" t="s">
        <v>589</v>
      </c>
      <c r="J6" s="48" t="s">
        <v>879</v>
      </c>
      <c r="K6" s="48" t="s">
        <v>879</v>
      </c>
      <c r="L6" s="48" t="s">
        <v>879</v>
      </c>
      <c r="M6" s="48" t="s">
        <v>879</v>
      </c>
      <c r="N6" s="48" t="s">
        <v>879</v>
      </c>
      <c r="O6" s="48" t="s">
        <v>879</v>
      </c>
      <c r="P6" s="48" t="s">
        <v>879</v>
      </c>
      <c r="Q6" s="49" t="s">
        <v>879</v>
      </c>
      <c r="V6" s="406"/>
      <c r="W6" s="28" t="s">
        <v>589</v>
      </c>
    </row>
    <row r="7" spans="1:23" ht="15.75" customHeight="1" thickTop="1">
      <c r="A7" s="310" t="s">
        <v>584</v>
      </c>
      <c r="B7" s="311" t="s">
        <v>191</v>
      </c>
      <c r="C7" s="311">
        <v>418825.67141177156</v>
      </c>
      <c r="D7" s="312">
        <v>10000</v>
      </c>
      <c r="E7" s="313">
        <v>87</v>
      </c>
      <c r="F7" s="313">
        <v>2.645</v>
      </c>
      <c r="G7" s="314">
        <v>0.122</v>
      </c>
      <c r="H7" s="315">
        <v>25.96</v>
      </c>
      <c r="I7" s="315">
        <v>19.12</v>
      </c>
      <c r="J7" s="316">
        <v>20.941283570588578</v>
      </c>
      <c r="K7" s="317">
        <v>15.329019573670838</v>
      </c>
      <c r="L7" s="317">
        <v>4.188255</v>
      </c>
      <c r="M7" s="318">
        <v>34.51725</v>
      </c>
      <c r="N7" s="318">
        <v>10.355175</v>
      </c>
      <c r="O7" s="318">
        <v>12.564770142353145</v>
      </c>
      <c r="P7" s="318">
        <v>45.08</v>
      </c>
      <c r="Q7" s="319">
        <v>142.97575328661256</v>
      </c>
      <c r="R7" s="308">
        <v>68.951788878</v>
      </c>
      <c r="V7" s="29" t="s">
        <v>952</v>
      </c>
      <c r="W7" s="32">
        <v>10000</v>
      </c>
    </row>
    <row r="8" spans="1:23" ht="15.75" customHeight="1">
      <c r="A8" s="320" t="s">
        <v>681</v>
      </c>
      <c r="B8" s="321" t="s">
        <v>192</v>
      </c>
      <c r="C8" s="321">
        <v>632988.8478300222</v>
      </c>
      <c r="D8" s="322">
        <v>10000</v>
      </c>
      <c r="E8" s="323">
        <v>180</v>
      </c>
      <c r="F8" s="323">
        <v>2.645</v>
      </c>
      <c r="G8" s="324">
        <v>0.122</v>
      </c>
      <c r="H8" s="325">
        <v>25.96</v>
      </c>
      <c r="I8" s="325">
        <v>19.12</v>
      </c>
      <c r="J8" s="326">
        <v>31.64944239150111</v>
      </c>
      <c r="K8" s="327">
        <v>23.167391830578815</v>
      </c>
      <c r="L8" s="327">
        <v>6.329890000000001</v>
      </c>
      <c r="M8" s="328">
        <v>71.415</v>
      </c>
      <c r="N8" s="328">
        <v>21.424500000000002</v>
      </c>
      <c r="O8" s="328">
        <v>18.989665434900665</v>
      </c>
      <c r="P8" s="328">
        <v>45.08</v>
      </c>
      <c r="Q8" s="329">
        <v>218.05588965698058</v>
      </c>
      <c r="R8" s="308">
        <v>65.07452022860001</v>
      </c>
      <c r="V8" s="30" t="s">
        <v>953</v>
      </c>
      <c r="W8" s="33">
        <v>12000</v>
      </c>
    </row>
    <row r="9" spans="1:23" ht="15.75" customHeight="1">
      <c r="A9" s="320" t="s">
        <v>502</v>
      </c>
      <c r="B9" s="321" t="s">
        <v>193</v>
      </c>
      <c r="C9" s="340">
        <v>550971.0550644076</v>
      </c>
      <c r="D9" s="322">
        <v>10000</v>
      </c>
      <c r="E9" s="323">
        <v>140</v>
      </c>
      <c r="F9" s="323">
        <v>2.645</v>
      </c>
      <c r="G9" s="324">
        <v>0.122</v>
      </c>
      <c r="H9" s="325">
        <v>25.96</v>
      </c>
      <c r="I9" s="325">
        <v>19.12</v>
      </c>
      <c r="J9" s="326">
        <v>27.54855275322038</v>
      </c>
      <c r="K9" s="327">
        <v>20.165540615357315</v>
      </c>
      <c r="L9" s="327">
        <v>5.50971</v>
      </c>
      <c r="M9" s="328">
        <v>55.545</v>
      </c>
      <c r="N9" s="328">
        <v>16.6635</v>
      </c>
      <c r="O9" s="328">
        <v>16.52913165193223</v>
      </c>
      <c r="P9" s="328">
        <v>45.08</v>
      </c>
      <c r="Q9" s="329">
        <v>187.04143502050994</v>
      </c>
      <c r="R9" s="308">
        <v>110.6742862822</v>
      </c>
      <c r="V9" s="30" t="s">
        <v>954</v>
      </c>
      <c r="W9" s="33">
        <v>16000</v>
      </c>
    </row>
    <row r="10" spans="1:23" ht="15.75" customHeight="1">
      <c r="A10" s="320" t="s">
        <v>684</v>
      </c>
      <c r="B10" s="321" t="s">
        <v>194</v>
      </c>
      <c r="C10" s="321">
        <v>634405.4349083485</v>
      </c>
      <c r="D10" s="322">
        <v>10000</v>
      </c>
      <c r="E10" s="323">
        <v>140</v>
      </c>
      <c r="F10" s="323">
        <v>2.645</v>
      </c>
      <c r="G10" s="324">
        <v>0.122</v>
      </c>
      <c r="H10" s="325">
        <v>25.96</v>
      </c>
      <c r="I10" s="325"/>
      <c r="J10" s="326">
        <v>31.720271745417424</v>
      </c>
      <c r="K10" s="327">
        <v>23.21923891764555</v>
      </c>
      <c r="L10" s="327">
        <v>6.344055</v>
      </c>
      <c r="M10" s="328">
        <v>55.545</v>
      </c>
      <c r="N10" s="328">
        <v>16.6635</v>
      </c>
      <c r="O10" s="328">
        <v>19.032163047250453</v>
      </c>
      <c r="P10" s="328">
        <v>25.96</v>
      </c>
      <c r="Q10" s="329">
        <v>178.48422871031346</v>
      </c>
      <c r="R10" s="308">
        <v>96.26395374420001</v>
      </c>
      <c r="V10" s="30" t="s">
        <v>955</v>
      </c>
      <c r="W10" s="33">
        <v>10000</v>
      </c>
    </row>
    <row r="11" spans="1:23" ht="15.75" customHeight="1">
      <c r="A11" s="320" t="s">
        <v>685</v>
      </c>
      <c r="B11" s="321" t="s">
        <v>195</v>
      </c>
      <c r="C11" s="321">
        <v>388845.1273294482</v>
      </c>
      <c r="D11" s="322">
        <v>10000</v>
      </c>
      <c r="E11" s="323">
        <v>70</v>
      </c>
      <c r="F11" s="323">
        <v>2.645</v>
      </c>
      <c r="G11" s="324">
        <v>0.122</v>
      </c>
      <c r="H11" s="325">
        <v>25.96</v>
      </c>
      <c r="I11" s="325"/>
      <c r="J11" s="326">
        <v>19.44225636647241</v>
      </c>
      <c r="K11" s="327">
        <v>14.231731660257804</v>
      </c>
      <c r="L11" s="327">
        <v>3.8884499999999997</v>
      </c>
      <c r="M11" s="328">
        <v>27.7725</v>
      </c>
      <c r="N11" s="328">
        <v>8.33175</v>
      </c>
      <c r="O11" s="328">
        <v>11.665353819883446</v>
      </c>
      <c r="P11" s="328">
        <v>25.96</v>
      </c>
      <c r="Q11" s="329">
        <v>111.29204184661367</v>
      </c>
      <c r="R11" s="308">
        <v>58.24635</v>
      </c>
      <c r="V11" s="30" t="s">
        <v>956</v>
      </c>
      <c r="W11" s="33">
        <v>12000</v>
      </c>
    </row>
    <row r="12" spans="1:23" ht="15.75" customHeight="1">
      <c r="A12" s="320" t="s">
        <v>688</v>
      </c>
      <c r="B12" s="321" t="s">
        <v>196</v>
      </c>
      <c r="C12" s="321">
        <v>528501.1226105574</v>
      </c>
      <c r="D12" s="322">
        <v>10000</v>
      </c>
      <c r="E12" s="323">
        <v>120</v>
      </c>
      <c r="F12" s="323">
        <v>2.645</v>
      </c>
      <c r="G12" s="324">
        <v>0.122</v>
      </c>
      <c r="H12" s="325">
        <v>25.96</v>
      </c>
      <c r="I12" s="325"/>
      <c r="J12" s="326">
        <v>26.425056130527867</v>
      </c>
      <c r="K12" s="327">
        <v>19.3431410875464</v>
      </c>
      <c r="L12" s="327">
        <v>5.285010000000001</v>
      </c>
      <c r="M12" s="328">
        <v>47.61</v>
      </c>
      <c r="N12" s="328">
        <v>14.282999999999998</v>
      </c>
      <c r="O12" s="328">
        <v>15.855033678316719</v>
      </c>
      <c r="P12" s="328">
        <v>25.96</v>
      </c>
      <c r="Q12" s="329">
        <v>154.761240896391</v>
      </c>
      <c r="R12" s="308">
        <v>90.90381</v>
      </c>
      <c r="V12" s="30" t="s">
        <v>957</v>
      </c>
      <c r="W12" s="33">
        <v>12000</v>
      </c>
    </row>
    <row r="13" spans="1:23" ht="15.75" customHeight="1">
      <c r="A13" s="320" t="s">
        <v>690</v>
      </c>
      <c r="B13" s="321" t="s">
        <v>197</v>
      </c>
      <c r="C13" s="321">
        <v>648206.2539429753</v>
      </c>
      <c r="D13" s="322">
        <v>10000</v>
      </c>
      <c r="E13" s="323">
        <v>240</v>
      </c>
      <c r="F13" s="323">
        <v>2.645</v>
      </c>
      <c r="G13" s="324">
        <v>0.122</v>
      </c>
      <c r="H13" s="325">
        <v>25.96</v>
      </c>
      <c r="I13" s="325">
        <v>19.12</v>
      </c>
      <c r="J13" s="326">
        <v>32.41031269714877</v>
      </c>
      <c r="K13" s="327">
        <v>23.724348894312893</v>
      </c>
      <c r="L13" s="327">
        <v>6.4820649999999995</v>
      </c>
      <c r="M13" s="328">
        <v>95.22</v>
      </c>
      <c r="N13" s="328">
        <v>28.565999999999995</v>
      </c>
      <c r="O13" s="328">
        <v>19.44618761828926</v>
      </c>
      <c r="P13" s="328">
        <v>45.08</v>
      </c>
      <c r="Q13" s="329">
        <v>250.92891420975093</v>
      </c>
      <c r="R13" s="308">
        <v>106.4514</v>
      </c>
      <c r="V13" s="30" t="s">
        <v>958</v>
      </c>
      <c r="W13" s="33">
        <v>16000</v>
      </c>
    </row>
    <row r="14" spans="1:23" ht="15.75" customHeight="1">
      <c r="A14" s="320" t="s">
        <v>698</v>
      </c>
      <c r="B14" s="321" t="s">
        <v>198</v>
      </c>
      <c r="C14" s="321">
        <v>959739.7943820016</v>
      </c>
      <c r="D14" s="322">
        <v>10000</v>
      </c>
      <c r="E14" s="323">
        <v>200</v>
      </c>
      <c r="F14" s="323">
        <v>2.645</v>
      </c>
      <c r="G14" s="324">
        <v>0.122</v>
      </c>
      <c r="H14" s="325">
        <v>25.96</v>
      </c>
      <c r="I14" s="325"/>
      <c r="J14" s="326">
        <v>47.98698971910008</v>
      </c>
      <c r="K14" s="327">
        <v>35.126476474381256</v>
      </c>
      <c r="L14" s="327">
        <v>9.5974</v>
      </c>
      <c r="M14" s="328">
        <v>79.35</v>
      </c>
      <c r="N14" s="328">
        <v>23.805</v>
      </c>
      <c r="O14" s="328">
        <v>28.792193831460047</v>
      </c>
      <c r="P14" s="328">
        <v>25.96</v>
      </c>
      <c r="Q14" s="329">
        <v>250.6180600249414</v>
      </c>
      <c r="R14" s="308">
        <v>41.7111</v>
      </c>
      <c r="V14" s="30" t="s">
        <v>959</v>
      </c>
      <c r="W14" s="33">
        <v>14000</v>
      </c>
    </row>
    <row r="15" spans="1:23" ht="15.75" customHeight="1">
      <c r="A15" s="320" t="s">
        <v>1091</v>
      </c>
      <c r="B15" s="321" t="s">
        <v>1092</v>
      </c>
      <c r="C15" s="321">
        <v>81052.6316</v>
      </c>
      <c r="D15" s="322">
        <v>10000</v>
      </c>
      <c r="E15" s="323">
        <v>200</v>
      </c>
      <c r="F15" s="323">
        <v>2.645</v>
      </c>
      <c r="G15" s="324">
        <v>0.122</v>
      </c>
      <c r="H15" s="325">
        <v>25.96</v>
      </c>
      <c r="I15" s="325"/>
      <c r="J15" s="326">
        <v>4.05263158</v>
      </c>
      <c r="K15" s="327">
        <v>2.9665263165599995</v>
      </c>
      <c r="L15" s="327">
        <v>0.8105249999999999</v>
      </c>
      <c r="M15" s="328">
        <v>79.35</v>
      </c>
      <c r="N15" s="328">
        <v>23.805</v>
      </c>
      <c r="O15" s="328">
        <v>2.431578948</v>
      </c>
      <c r="P15" s="328">
        <v>25.96</v>
      </c>
      <c r="Q15" s="329">
        <v>139.37626184456</v>
      </c>
      <c r="R15" s="308">
        <v>145.223124</v>
      </c>
      <c r="V15" s="30" t="s">
        <v>960</v>
      </c>
      <c r="W15" s="33">
        <v>16000</v>
      </c>
    </row>
    <row r="16" spans="1:23" ht="15.75" customHeight="1">
      <c r="A16" s="320" t="s">
        <v>1192</v>
      </c>
      <c r="B16" s="321" t="s">
        <v>199</v>
      </c>
      <c r="C16" s="321">
        <v>704905.15</v>
      </c>
      <c r="D16" s="322">
        <v>10000</v>
      </c>
      <c r="E16" s="323">
        <v>90</v>
      </c>
      <c r="F16" s="323">
        <v>2.645</v>
      </c>
      <c r="G16" s="324">
        <v>0.122</v>
      </c>
      <c r="H16" s="325">
        <v>25.96</v>
      </c>
      <c r="I16" s="325">
        <v>19.12</v>
      </c>
      <c r="J16" s="326">
        <v>35.2452575</v>
      </c>
      <c r="K16" s="327">
        <v>25.79952849</v>
      </c>
      <c r="L16" s="327">
        <v>7.04905</v>
      </c>
      <c r="M16" s="328">
        <v>35.7075</v>
      </c>
      <c r="N16" s="328">
        <v>10.712250000000001</v>
      </c>
      <c r="O16" s="328">
        <v>21.1471545</v>
      </c>
      <c r="P16" s="328">
        <v>45.08</v>
      </c>
      <c r="Q16" s="329">
        <v>180.74074049</v>
      </c>
      <c r="R16" s="308">
        <v>57.584274</v>
      </c>
      <c r="V16" s="30" t="s">
        <v>961</v>
      </c>
      <c r="W16" s="33">
        <v>16000</v>
      </c>
    </row>
    <row r="17" spans="1:23" ht="15.75" customHeight="1">
      <c r="A17" s="365" t="s">
        <v>693</v>
      </c>
      <c r="B17" s="366" t="s">
        <v>201</v>
      </c>
      <c r="C17" s="366">
        <v>269868.78147134226</v>
      </c>
      <c r="D17" s="367">
        <v>10000</v>
      </c>
      <c r="E17" s="368">
        <v>60</v>
      </c>
      <c r="F17" s="368">
        <v>2.645</v>
      </c>
      <c r="G17" s="369">
        <v>0.122</v>
      </c>
      <c r="H17" s="370">
        <v>25.96</v>
      </c>
      <c r="I17" s="370"/>
      <c r="J17" s="371">
        <v>13.493439073567112</v>
      </c>
      <c r="K17" s="372">
        <v>9.877197401851124</v>
      </c>
      <c r="L17" s="372">
        <v>2.69869</v>
      </c>
      <c r="M17" s="373">
        <v>23.805</v>
      </c>
      <c r="N17" s="373">
        <v>7.141499999999999</v>
      </c>
      <c r="O17" s="373">
        <v>8.096063444140267</v>
      </c>
      <c r="P17" s="373">
        <v>25.96</v>
      </c>
      <c r="Q17" s="374">
        <v>91.07188991955849</v>
      </c>
      <c r="R17" s="309"/>
      <c r="V17" s="30" t="s">
        <v>962</v>
      </c>
      <c r="W17" s="33">
        <v>10000</v>
      </c>
    </row>
    <row r="18" spans="1:23" ht="15.75" customHeight="1">
      <c r="A18" s="375" t="s">
        <v>135</v>
      </c>
      <c r="B18" s="375" t="s">
        <v>813</v>
      </c>
      <c r="C18" s="375">
        <v>2090274.6</v>
      </c>
      <c r="D18" s="375">
        <v>10000</v>
      </c>
      <c r="E18" s="375">
        <v>240</v>
      </c>
      <c r="F18" s="375">
        <v>2.645</v>
      </c>
      <c r="G18" s="375">
        <v>0.122</v>
      </c>
      <c r="H18" s="376">
        <v>25.96</v>
      </c>
      <c r="I18" s="376"/>
      <c r="J18" s="375">
        <v>104.51373000000001</v>
      </c>
      <c r="K18" s="375">
        <v>76.50405036</v>
      </c>
      <c r="L18" s="375">
        <v>20.902745</v>
      </c>
      <c r="M18" s="375">
        <v>95.22</v>
      </c>
      <c r="N18" s="375">
        <v>28.565999999999995</v>
      </c>
      <c r="O18" s="375">
        <v>62.708238</v>
      </c>
      <c r="P18" s="375">
        <v>25.96</v>
      </c>
      <c r="Q18" s="374">
        <v>414.37476336</v>
      </c>
      <c r="V18" s="30" t="s">
        <v>963</v>
      </c>
      <c r="W18" s="33">
        <v>8000</v>
      </c>
    </row>
    <row r="19" spans="22:23" ht="15.75" customHeight="1">
      <c r="V19" s="30" t="s">
        <v>964</v>
      </c>
      <c r="W19" s="33">
        <v>20000</v>
      </c>
    </row>
    <row r="20" spans="22:23" ht="15.75" customHeight="1">
      <c r="V20" s="30" t="s">
        <v>965</v>
      </c>
      <c r="W20" s="33">
        <v>20000</v>
      </c>
    </row>
    <row r="21" spans="22:23" ht="15.75" customHeight="1">
      <c r="V21" s="30" t="s">
        <v>966</v>
      </c>
      <c r="W21" s="33">
        <v>14000</v>
      </c>
    </row>
    <row r="22" spans="22:23" ht="15.75" customHeight="1">
      <c r="V22" s="30" t="s">
        <v>967</v>
      </c>
      <c r="W22" s="33">
        <v>16000</v>
      </c>
    </row>
    <row r="23" spans="22:23" ht="15.75" customHeight="1">
      <c r="V23" s="30" t="s">
        <v>968</v>
      </c>
      <c r="W23" s="33">
        <v>14000</v>
      </c>
    </row>
    <row r="24" spans="22:23" ht="15.75" customHeight="1">
      <c r="V24" s="30" t="s">
        <v>969</v>
      </c>
      <c r="W24" s="33">
        <v>10000</v>
      </c>
    </row>
    <row r="25" spans="22:23" ht="15.75" customHeight="1">
      <c r="V25" s="30" t="s">
        <v>970</v>
      </c>
      <c r="W25" s="33">
        <v>12000</v>
      </c>
    </row>
    <row r="26" spans="22:23" ht="15.75" customHeight="1">
      <c r="V26" s="30" t="s">
        <v>971</v>
      </c>
      <c r="W26" s="33">
        <v>16000</v>
      </c>
    </row>
    <row r="27" spans="22:23" ht="15.75" customHeight="1">
      <c r="V27" s="30" t="s">
        <v>972</v>
      </c>
      <c r="W27" s="33">
        <v>20000</v>
      </c>
    </row>
    <row r="28" spans="22:23" ht="15.75" customHeight="1">
      <c r="V28" s="30" t="s">
        <v>973</v>
      </c>
      <c r="W28" s="33">
        <v>10000</v>
      </c>
    </row>
    <row r="29" spans="22:23" ht="15.75" customHeight="1">
      <c r="V29" s="30" t="s">
        <v>974</v>
      </c>
      <c r="W29" s="33">
        <v>12000</v>
      </c>
    </row>
    <row r="30" spans="22:23" ht="15.75" customHeight="1">
      <c r="V30" s="30" t="s">
        <v>975</v>
      </c>
      <c r="W30" s="33">
        <v>10000</v>
      </c>
    </row>
    <row r="31" spans="22:23" ht="15.75" customHeight="1">
      <c r="V31" s="30" t="s">
        <v>976</v>
      </c>
      <c r="W31" s="33">
        <v>10000</v>
      </c>
    </row>
    <row r="32" spans="22:23" ht="15.75" customHeight="1">
      <c r="V32" s="30" t="s">
        <v>977</v>
      </c>
      <c r="W32" s="33">
        <v>10000</v>
      </c>
    </row>
    <row r="33" spans="22:23" ht="15.75" customHeight="1">
      <c r="V33" s="30" t="s">
        <v>978</v>
      </c>
      <c r="W33" s="33">
        <v>12000</v>
      </c>
    </row>
    <row r="34" spans="22:23" ht="15.75" customHeight="1" thickBot="1">
      <c r="V34" s="31" t="s">
        <v>979</v>
      </c>
      <c r="W34" s="34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V5:V6"/>
    <mergeCell ref="B4:B6"/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</mergeCells>
  <printOptions horizontalCentered="1" verticalCentered="1"/>
  <pageMargins left="0.52" right="0.24" top="0.69" bottom="0.61" header="0" footer="0"/>
  <pageSetup fitToHeight="1" fitToWidth="1"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workbookViewId="0" topLeftCell="K1">
      <selection activeCell="O13" sqref="O13"/>
    </sheetView>
  </sheetViews>
  <sheetFormatPr defaultColWidth="11.19921875" defaultRowHeight="15"/>
  <cols>
    <col min="1" max="1" width="9" style="113" hidden="1" customWidth="1"/>
    <col min="2" max="2" width="7.796875" style="0" hidden="1" customWidth="1"/>
    <col min="3" max="3" width="9" style="113" hidden="1" customWidth="1"/>
    <col min="4" max="4" width="9" style="0" hidden="1" customWidth="1"/>
    <col min="5" max="5" width="9" style="113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113" t="s">
        <v>1376</v>
      </c>
    </row>
    <row r="2" spans="1:10" ht="15.75" thickBot="1">
      <c r="A2" s="124">
        <v>36341</v>
      </c>
      <c r="B2" s="129" t="s">
        <v>1372</v>
      </c>
      <c r="C2" s="125">
        <v>36372</v>
      </c>
      <c r="D2" s="129" t="s">
        <v>1372</v>
      </c>
      <c r="E2" s="125" t="s">
        <v>1375</v>
      </c>
      <c r="F2" s="132" t="s">
        <v>1372</v>
      </c>
      <c r="G2" s="125">
        <v>36433</v>
      </c>
      <c r="H2" s="129" t="s">
        <v>1372</v>
      </c>
      <c r="I2" s="125">
        <v>36464</v>
      </c>
      <c r="J2" s="129" t="s">
        <v>1372</v>
      </c>
    </row>
    <row r="3" spans="1:10" ht="15">
      <c r="A3" s="126">
        <v>1</v>
      </c>
      <c r="B3" s="130">
        <v>2.77</v>
      </c>
      <c r="C3" s="128">
        <v>1</v>
      </c>
      <c r="D3" s="130">
        <v>2.96</v>
      </c>
      <c r="E3" s="128">
        <v>1</v>
      </c>
      <c r="F3" s="133">
        <v>2.98</v>
      </c>
      <c r="G3" s="128">
        <v>1</v>
      </c>
      <c r="H3" s="130">
        <v>2.92</v>
      </c>
      <c r="I3" s="128">
        <v>1</v>
      </c>
      <c r="J3" s="130"/>
    </row>
    <row r="4" spans="1:10" ht="15">
      <c r="A4" s="127">
        <v>2</v>
      </c>
      <c r="B4" s="131">
        <v>2.77</v>
      </c>
      <c r="C4" s="116">
        <v>2</v>
      </c>
      <c r="D4" s="131"/>
      <c r="E4" s="116">
        <v>2</v>
      </c>
      <c r="F4" s="134">
        <v>2.99</v>
      </c>
      <c r="G4" s="116">
        <v>2</v>
      </c>
      <c r="H4" s="131">
        <v>2.92</v>
      </c>
      <c r="I4" s="116">
        <v>2</v>
      </c>
      <c r="J4" s="131"/>
    </row>
    <row r="5" spans="1:10" ht="15">
      <c r="A5" s="127">
        <v>3</v>
      </c>
      <c r="B5" s="131">
        <v>2.77</v>
      </c>
      <c r="C5" s="116">
        <v>3</v>
      </c>
      <c r="D5" s="131"/>
      <c r="E5" s="116">
        <v>3</v>
      </c>
      <c r="F5" s="134">
        <v>2.99</v>
      </c>
      <c r="G5" s="116">
        <v>3</v>
      </c>
      <c r="H5" s="131">
        <v>2.91</v>
      </c>
      <c r="I5" s="116">
        <v>3</v>
      </c>
      <c r="J5" s="131">
        <v>2.86</v>
      </c>
    </row>
    <row r="6" spans="1:10" ht="15">
      <c r="A6" s="127">
        <v>4</v>
      </c>
      <c r="B6" s="131">
        <v>2.77</v>
      </c>
      <c r="C6" s="116">
        <v>4</v>
      </c>
      <c r="D6" s="131">
        <v>2.98</v>
      </c>
      <c r="E6" s="116">
        <v>4</v>
      </c>
      <c r="F6" s="134">
        <v>2.98</v>
      </c>
      <c r="G6" s="116">
        <v>4</v>
      </c>
      <c r="H6" s="131"/>
      <c r="I6" s="116">
        <v>4</v>
      </c>
      <c r="J6" s="131">
        <v>2.87</v>
      </c>
    </row>
    <row r="7" spans="1:10" ht="15">
      <c r="A7" s="127">
        <v>5</v>
      </c>
      <c r="B7" s="131"/>
      <c r="C7" s="116">
        <v>5</v>
      </c>
      <c r="D7" s="131">
        <v>2.95</v>
      </c>
      <c r="E7" s="116">
        <v>5</v>
      </c>
      <c r="F7" s="134">
        <v>2.94</v>
      </c>
      <c r="G7" s="116">
        <v>5</v>
      </c>
      <c r="H7" s="131"/>
      <c r="I7" s="116">
        <v>5</v>
      </c>
      <c r="J7" s="131">
        <v>2.87</v>
      </c>
    </row>
    <row r="8" spans="1:10" ht="15">
      <c r="A8" s="127">
        <v>6</v>
      </c>
      <c r="B8" s="131"/>
      <c r="C8" s="116">
        <v>6</v>
      </c>
      <c r="D8" s="131">
        <v>2.95</v>
      </c>
      <c r="E8" s="116">
        <v>6</v>
      </c>
      <c r="F8" s="134"/>
      <c r="G8" s="116">
        <v>6</v>
      </c>
      <c r="H8" s="131">
        <v>2.91</v>
      </c>
      <c r="I8" s="116">
        <v>6</v>
      </c>
      <c r="J8" s="131">
        <v>2.87</v>
      </c>
    </row>
    <row r="9" spans="1:10" ht="15">
      <c r="A9" s="127">
        <v>7</v>
      </c>
      <c r="B9" s="131">
        <v>2.76</v>
      </c>
      <c r="C9" s="116">
        <v>7</v>
      </c>
      <c r="D9" s="131">
        <v>2.95</v>
      </c>
      <c r="E9" s="116">
        <v>7</v>
      </c>
      <c r="F9" s="134"/>
      <c r="G9" s="116">
        <v>7</v>
      </c>
      <c r="H9" s="131">
        <v>2.89</v>
      </c>
      <c r="I9" s="116">
        <v>7</v>
      </c>
      <c r="J9" s="131">
        <v>2.86</v>
      </c>
    </row>
    <row r="10" spans="1:10" ht="15">
      <c r="A10" s="127">
        <v>8</v>
      </c>
      <c r="B10" s="131">
        <v>2.76</v>
      </c>
      <c r="C10" s="116">
        <v>8</v>
      </c>
      <c r="D10" s="131">
        <v>2.94</v>
      </c>
      <c r="E10" s="116">
        <v>8</v>
      </c>
      <c r="F10" s="134">
        <v>2.96</v>
      </c>
      <c r="G10" s="116">
        <v>8</v>
      </c>
      <c r="H10" s="131">
        <v>2.88</v>
      </c>
      <c r="I10" s="116">
        <v>8</v>
      </c>
      <c r="J10" s="131"/>
    </row>
    <row r="11" spans="1:10" ht="15">
      <c r="A11" s="127">
        <v>9</v>
      </c>
      <c r="B11" s="131">
        <v>2.76</v>
      </c>
      <c r="C11" s="116">
        <v>9</v>
      </c>
      <c r="D11" s="131"/>
      <c r="E11" s="116">
        <v>9</v>
      </c>
      <c r="F11" s="134">
        <v>2.96</v>
      </c>
      <c r="G11" s="116">
        <v>9</v>
      </c>
      <c r="H11" s="131">
        <v>2.86</v>
      </c>
      <c r="I11" s="116">
        <v>9</v>
      </c>
      <c r="J11" s="131"/>
    </row>
    <row r="12" spans="1:10" ht="15">
      <c r="A12" s="127">
        <v>10</v>
      </c>
      <c r="B12" s="131">
        <v>2.74</v>
      </c>
      <c r="C12" s="116">
        <v>10</v>
      </c>
      <c r="D12" s="131"/>
      <c r="E12" s="116">
        <v>10</v>
      </c>
      <c r="F12" s="134">
        <v>2.96</v>
      </c>
      <c r="G12" s="116">
        <v>10</v>
      </c>
      <c r="H12" s="131">
        <v>2.86</v>
      </c>
      <c r="I12" s="116">
        <v>10</v>
      </c>
      <c r="J12" s="131">
        <v>2.86</v>
      </c>
    </row>
    <row r="13" spans="1:10" ht="15">
      <c r="A13" s="127">
        <v>11</v>
      </c>
      <c r="B13" s="131">
        <v>2.75</v>
      </c>
      <c r="C13" s="116">
        <v>11</v>
      </c>
      <c r="D13" s="131">
        <v>2.93</v>
      </c>
      <c r="E13" s="116">
        <v>11</v>
      </c>
      <c r="F13" s="134">
        <v>2.92</v>
      </c>
      <c r="G13" s="116">
        <v>11</v>
      </c>
      <c r="H13" s="131"/>
      <c r="I13" s="116">
        <v>11</v>
      </c>
      <c r="J13" s="131">
        <v>2.87</v>
      </c>
    </row>
    <row r="14" spans="1:10" ht="15">
      <c r="A14" s="127">
        <v>12</v>
      </c>
      <c r="B14" s="131"/>
      <c r="C14" s="116">
        <v>12</v>
      </c>
      <c r="D14" s="131">
        <v>2.92</v>
      </c>
      <c r="E14" s="116">
        <v>12</v>
      </c>
      <c r="F14" s="134">
        <v>2.92</v>
      </c>
      <c r="G14" s="116">
        <v>12</v>
      </c>
      <c r="H14" s="131"/>
      <c r="I14" s="116">
        <v>12</v>
      </c>
      <c r="J14" s="131">
        <v>2.87</v>
      </c>
    </row>
    <row r="15" spans="1:10" ht="15">
      <c r="A15" s="127">
        <v>13</v>
      </c>
      <c r="B15" s="131"/>
      <c r="C15" s="116">
        <v>13</v>
      </c>
      <c r="D15" s="131">
        <v>2.91</v>
      </c>
      <c r="E15" s="116">
        <v>13</v>
      </c>
      <c r="F15" s="134"/>
      <c r="G15" s="116">
        <v>13</v>
      </c>
      <c r="H15" s="131"/>
      <c r="I15" s="116">
        <v>13</v>
      </c>
      <c r="J15" s="131">
        <v>2.86</v>
      </c>
    </row>
    <row r="16" spans="1:10" ht="15">
      <c r="A16" s="127">
        <v>14</v>
      </c>
      <c r="B16" s="131">
        <v>2.75</v>
      </c>
      <c r="C16" s="116">
        <v>14</v>
      </c>
      <c r="D16" s="131">
        <v>2.92</v>
      </c>
      <c r="E16" s="116">
        <v>14</v>
      </c>
      <c r="F16" s="134"/>
      <c r="G16" s="116">
        <v>14</v>
      </c>
      <c r="H16" s="131">
        <v>2.86</v>
      </c>
      <c r="I16" s="116">
        <v>14</v>
      </c>
      <c r="J16" s="131">
        <v>2.88</v>
      </c>
    </row>
    <row r="17" spans="1:10" ht="15">
      <c r="A17" s="127">
        <v>15</v>
      </c>
      <c r="B17" s="131">
        <v>2.75</v>
      </c>
      <c r="C17" s="116">
        <v>15</v>
      </c>
      <c r="D17" s="131">
        <v>2.91</v>
      </c>
      <c r="E17" s="116">
        <v>15</v>
      </c>
      <c r="F17" s="134">
        <v>2.91</v>
      </c>
      <c r="G17" s="116">
        <v>15</v>
      </c>
      <c r="H17" s="131">
        <v>2.86</v>
      </c>
      <c r="I17" s="116">
        <v>15</v>
      </c>
      <c r="J17" s="131"/>
    </row>
    <row r="18" spans="1:10" ht="15">
      <c r="A18" s="127">
        <v>16</v>
      </c>
      <c r="B18" s="131">
        <v>2.76</v>
      </c>
      <c r="C18" s="116">
        <v>16</v>
      </c>
      <c r="D18" s="131"/>
      <c r="E18" s="116">
        <v>16</v>
      </c>
      <c r="F18" s="134">
        <v>2.91</v>
      </c>
      <c r="G18" s="116">
        <v>16</v>
      </c>
      <c r="H18" s="131">
        <v>2.86</v>
      </c>
      <c r="I18" s="116">
        <v>16</v>
      </c>
      <c r="J18" s="131"/>
    </row>
    <row r="19" spans="1:10" ht="15">
      <c r="A19" s="127">
        <v>17</v>
      </c>
      <c r="B19" s="131">
        <v>2.77</v>
      </c>
      <c r="C19" s="116">
        <v>17</v>
      </c>
      <c r="D19" s="131"/>
      <c r="E19" s="116">
        <v>17</v>
      </c>
      <c r="F19" s="134">
        <v>2.93</v>
      </c>
      <c r="G19" s="116">
        <v>17</v>
      </c>
      <c r="H19" s="131">
        <v>2.86</v>
      </c>
      <c r="I19" s="116">
        <v>17</v>
      </c>
      <c r="J19" s="131">
        <v>2.88</v>
      </c>
    </row>
    <row r="20" spans="1:10" ht="15">
      <c r="A20" s="127">
        <v>18</v>
      </c>
      <c r="B20" s="131">
        <v>2.78</v>
      </c>
      <c r="C20" s="116">
        <v>18</v>
      </c>
      <c r="D20" s="131">
        <v>2.91</v>
      </c>
      <c r="E20" s="116">
        <v>18</v>
      </c>
      <c r="F20" s="134">
        <v>2.93</v>
      </c>
      <c r="G20" s="116">
        <v>18</v>
      </c>
      <c r="H20" s="131"/>
      <c r="I20" s="116">
        <v>18</v>
      </c>
      <c r="J20" s="131">
        <v>2.87</v>
      </c>
    </row>
    <row r="21" spans="1:10" ht="15">
      <c r="A21" s="127">
        <v>19</v>
      </c>
      <c r="B21" s="131"/>
      <c r="C21" s="116">
        <v>19</v>
      </c>
      <c r="D21" s="131">
        <v>2.92</v>
      </c>
      <c r="E21" s="116">
        <v>19</v>
      </c>
      <c r="F21" s="134">
        <v>2.93</v>
      </c>
      <c r="G21" s="116">
        <v>19</v>
      </c>
      <c r="H21" s="131"/>
      <c r="I21" s="116">
        <v>19</v>
      </c>
      <c r="J21" s="131">
        <v>2.89</v>
      </c>
    </row>
    <row r="22" spans="1:10" ht="15">
      <c r="A22" s="127">
        <v>20</v>
      </c>
      <c r="B22" s="131"/>
      <c r="C22" s="116">
        <v>20</v>
      </c>
      <c r="D22" s="131">
        <v>2.93</v>
      </c>
      <c r="E22" s="116">
        <v>20</v>
      </c>
      <c r="F22" s="134"/>
      <c r="G22" s="116">
        <v>20</v>
      </c>
      <c r="H22" s="131">
        <v>2.86</v>
      </c>
      <c r="I22" s="116">
        <v>20</v>
      </c>
      <c r="J22" s="131">
        <v>2.89</v>
      </c>
    </row>
    <row r="23" spans="1:10" ht="15">
      <c r="A23" s="127">
        <v>21</v>
      </c>
      <c r="B23" s="131">
        <v>2.77</v>
      </c>
      <c r="C23" s="116">
        <v>21</v>
      </c>
      <c r="D23" s="131">
        <v>2.97</v>
      </c>
      <c r="E23" s="116">
        <v>21</v>
      </c>
      <c r="F23" s="134"/>
      <c r="G23" s="116">
        <v>21</v>
      </c>
      <c r="H23" s="131">
        <v>2.87</v>
      </c>
      <c r="I23" s="116">
        <v>21</v>
      </c>
      <c r="J23" s="131">
        <v>2.9</v>
      </c>
    </row>
    <row r="24" spans="1:10" ht="15">
      <c r="A24" s="127">
        <v>22</v>
      </c>
      <c r="B24" s="131">
        <v>2.76</v>
      </c>
      <c r="C24" s="116">
        <v>22</v>
      </c>
      <c r="D24" s="131">
        <v>2.97</v>
      </c>
      <c r="E24" s="116">
        <v>22</v>
      </c>
      <c r="F24" s="134">
        <v>2.92</v>
      </c>
      <c r="G24" s="116">
        <v>22</v>
      </c>
      <c r="H24" s="131">
        <v>2.86</v>
      </c>
      <c r="I24" s="116">
        <v>22</v>
      </c>
      <c r="J24" s="131"/>
    </row>
    <row r="25" spans="1:10" ht="15">
      <c r="A25" s="127">
        <v>23</v>
      </c>
      <c r="B25" s="131">
        <v>2.76</v>
      </c>
      <c r="C25" s="116">
        <v>23</v>
      </c>
      <c r="D25" s="131"/>
      <c r="E25" s="116">
        <v>23</v>
      </c>
      <c r="F25" s="134">
        <v>2.92</v>
      </c>
      <c r="G25" s="116">
        <v>23</v>
      </c>
      <c r="H25" s="131">
        <v>2.86</v>
      </c>
      <c r="I25" s="116">
        <v>23</v>
      </c>
      <c r="J25" s="131"/>
    </row>
    <row r="26" spans="1:10" ht="15">
      <c r="A26" s="127">
        <v>24</v>
      </c>
      <c r="B26" s="131">
        <v>2.78</v>
      </c>
      <c r="C26" s="116">
        <v>24</v>
      </c>
      <c r="D26" s="131"/>
      <c r="E26" s="116">
        <v>24</v>
      </c>
      <c r="F26" s="134">
        <v>2.92</v>
      </c>
      <c r="G26" s="116">
        <v>24</v>
      </c>
      <c r="H26" s="131">
        <v>2.86</v>
      </c>
      <c r="I26" s="116">
        <v>24</v>
      </c>
      <c r="J26" s="131">
        <v>2.9</v>
      </c>
    </row>
    <row r="27" spans="1:10" ht="15">
      <c r="A27" s="127">
        <v>25</v>
      </c>
      <c r="B27" s="131">
        <v>2.79</v>
      </c>
      <c r="C27" s="116">
        <v>25</v>
      </c>
      <c r="D27" s="131">
        <v>2.94</v>
      </c>
      <c r="E27" s="116">
        <v>25</v>
      </c>
      <c r="F27" s="134">
        <v>2.91</v>
      </c>
      <c r="G27" s="116">
        <v>25</v>
      </c>
      <c r="H27" s="131"/>
      <c r="I27" s="116">
        <v>25</v>
      </c>
      <c r="J27" s="131">
        <v>2.93</v>
      </c>
    </row>
    <row r="28" spans="1:10" ht="15">
      <c r="A28" s="127">
        <v>26</v>
      </c>
      <c r="B28" s="131"/>
      <c r="C28" s="116">
        <v>26</v>
      </c>
      <c r="D28" s="131">
        <v>2.96</v>
      </c>
      <c r="E28" s="116">
        <v>26</v>
      </c>
      <c r="F28" s="134">
        <v>2.92</v>
      </c>
      <c r="G28" s="116">
        <v>26</v>
      </c>
      <c r="H28" s="131"/>
      <c r="I28" s="116">
        <v>26</v>
      </c>
      <c r="J28" s="131">
        <v>2.98</v>
      </c>
    </row>
    <row r="29" spans="1:10" ht="15">
      <c r="A29" s="127">
        <v>27</v>
      </c>
      <c r="B29" s="131"/>
      <c r="C29" s="116">
        <v>27</v>
      </c>
      <c r="D29" s="131">
        <v>2.98</v>
      </c>
      <c r="E29" s="116">
        <v>27</v>
      </c>
      <c r="F29" s="134"/>
      <c r="G29" s="116">
        <v>27</v>
      </c>
      <c r="H29" s="131">
        <v>2.85</v>
      </c>
      <c r="I29" s="116">
        <v>27</v>
      </c>
      <c r="J29" s="131">
        <v>2.97</v>
      </c>
    </row>
    <row r="30" spans="1:10" ht="15">
      <c r="A30" s="127">
        <v>28</v>
      </c>
      <c r="B30" s="131">
        <v>2.81</v>
      </c>
      <c r="C30" s="116">
        <v>28</v>
      </c>
      <c r="D30" s="131">
        <v>2.97</v>
      </c>
      <c r="E30" s="116">
        <v>28</v>
      </c>
      <c r="F30" s="134"/>
      <c r="G30" s="116">
        <v>28</v>
      </c>
      <c r="H30" s="131">
        <v>2.87</v>
      </c>
      <c r="I30" s="116">
        <v>28</v>
      </c>
      <c r="J30" s="131">
        <v>2.99</v>
      </c>
    </row>
    <row r="31" spans="1:10" ht="15">
      <c r="A31" s="127">
        <v>29</v>
      </c>
      <c r="B31" s="131">
        <v>2.82</v>
      </c>
      <c r="C31" s="116">
        <v>29</v>
      </c>
      <c r="D31" s="131">
        <v>2.97</v>
      </c>
      <c r="E31" s="116">
        <v>29</v>
      </c>
      <c r="F31" s="134">
        <v>2.92</v>
      </c>
      <c r="G31" s="116">
        <v>29</v>
      </c>
      <c r="H31" s="131">
        <v>2.87</v>
      </c>
      <c r="I31" s="116">
        <v>29</v>
      </c>
      <c r="J31" s="131"/>
    </row>
    <row r="32" spans="1:10" ht="15">
      <c r="A32" s="127">
        <v>30</v>
      </c>
      <c r="B32" s="131">
        <v>2.87</v>
      </c>
      <c r="C32" s="116">
        <v>30</v>
      </c>
      <c r="D32" s="131"/>
      <c r="E32" s="116">
        <v>30</v>
      </c>
      <c r="F32" s="134">
        <v>2.93</v>
      </c>
      <c r="G32" s="116">
        <v>30</v>
      </c>
      <c r="H32" s="131">
        <v>2.87</v>
      </c>
      <c r="I32" s="116">
        <v>30</v>
      </c>
      <c r="J32" s="131"/>
    </row>
    <row r="33" spans="1:10" ht="15.75" thickBot="1">
      <c r="A33" s="135">
        <v>31</v>
      </c>
      <c r="B33" s="136">
        <v>2.9</v>
      </c>
      <c r="C33" s="137">
        <v>31</v>
      </c>
      <c r="D33" s="136"/>
      <c r="E33" s="137"/>
      <c r="F33" s="138"/>
      <c r="G33" s="137">
        <v>31</v>
      </c>
      <c r="H33" s="136">
        <v>2.88</v>
      </c>
      <c r="I33" s="137">
        <v>31</v>
      </c>
      <c r="J33" s="136"/>
    </row>
    <row r="34" spans="1:10" ht="15.75" thickBot="1">
      <c r="A34" s="139" t="s">
        <v>1373</v>
      </c>
      <c r="B34" s="140">
        <f>AVERAGE(B3:B33)</f>
        <v>2.779130434782609</v>
      </c>
      <c r="C34" s="141" t="s">
        <v>1373</v>
      </c>
      <c r="D34" s="140">
        <f>AVERAGE(D3:D33)</f>
        <v>2.944761904761904</v>
      </c>
      <c r="E34" s="141" t="s">
        <v>1373</v>
      </c>
      <c r="F34" s="142">
        <f>AVERAGE(F3:F32)</f>
        <v>2.9386363636363644</v>
      </c>
      <c r="G34" s="141" t="s">
        <v>1373</v>
      </c>
      <c r="H34" s="140">
        <f>AVERAGE(H3:H33)</f>
        <v>2.874545454545454</v>
      </c>
      <c r="I34" s="141" t="s">
        <v>1373</v>
      </c>
      <c r="J34" s="140">
        <f>AVERAGE(J3:J33)</f>
        <v>2.8935</v>
      </c>
    </row>
    <row r="39" spans="1:5" ht="15">
      <c r="A39" t="s">
        <v>1374</v>
      </c>
      <c r="B39" s="113" t="s">
        <v>1393</v>
      </c>
      <c r="C39" s="113" t="s">
        <v>1392</v>
      </c>
      <c r="D39" s="113" t="s">
        <v>1391</v>
      </c>
      <c r="E39" s="113" t="s">
        <v>1394</v>
      </c>
    </row>
    <row r="40" spans="1:5" ht="15">
      <c r="A40" s="110">
        <f>B34</f>
        <v>2.779130434782609</v>
      </c>
      <c r="B40" s="110">
        <f>D34</f>
        <v>2.944761904761904</v>
      </c>
      <c r="C40" s="110">
        <f>F34</f>
        <v>2.9386363636363644</v>
      </c>
      <c r="D40" s="110">
        <f>H34</f>
        <v>2.874545454545454</v>
      </c>
      <c r="E40" s="147">
        <f>J34</f>
        <v>2.8935</v>
      </c>
    </row>
    <row r="41" spans="1:5" ht="15">
      <c r="A41"/>
      <c r="B41" s="144">
        <f>B40/A40</f>
        <v>1.0595983074080693</v>
      </c>
      <c r="C41" s="144">
        <f>C40/A40</f>
        <v>1.057394185914211</v>
      </c>
      <c r="D41">
        <f>D40/A40</f>
        <v>1.0343326885880075</v>
      </c>
      <c r="E41" s="113">
        <f>E40/A40</f>
        <v>1.0411530037546932</v>
      </c>
    </row>
    <row r="42" spans="4:5" ht="15">
      <c r="D42">
        <v>1.0343326885880075</v>
      </c>
      <c r="E42" s="113">
        <v>1.0411530037546932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workbookViewId="0" topLeftCell="A1">
      <selection activeCell="C9" sqref="C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7.2968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1069</v>
      </c>
      <c r="B2" s="8" t="s">
        <v>497</v>
      </c>
      <c r="C2" s="89" t="str">
        <f>Fecha</f>
        <v>JUN/10</v>
      </c>
      <c r="D2" s="74"/>
      <c r="E2" s="57"/>
      <c r="F2" s="77">
        <f>SUM(F4:F7)</f>
        <v>68.6404</v>
      </c>
      <c r="G2" s="50"/>
    </row>
    <row r="3" spans="1:7" ht="13.5" thickBot="1">
      <c r="A3" s="7" t="s">
        <v>1068</v>
      </c>
      <c r="B3" s="7" t="s">
        <v>347</v>
      </c>
      <c r="C3" s="90" t="s">
        <v>1067</v>
      </c>
      <c r="D3" s="58" t="s">
        <v>477</v>
      </c>
      <c r="E3" s="59"/>
      <c r="F3" s="78"/>
      <c r="G3" s="51" t="s">
        <v>652</v>
      </c>
    </row>
    <row r="4" spans="1:6" ht="13.5" thickTop="1">
      <c r="A4" s="94" t="s">
        <v>1073</v>
      </c>
      <c r="E4" s="60"/>
      <c r="F4" s="79"/>
    </row>
    <row r="5" spans="1:6" ht="12.75">
      <c r="A5" s="94" t="s">
        <v>1074</v>
      </c>
      <c r="D5" s="60"/>
      <c r="E5" s="60"/>
      <c r="F5" s="79"/>
    </row>
    <row r="6" spans="1:6" ht="12.75">
      <c r="A6" s="3" t="s">
        <v>289</v>
      </c>
      <c r="B6" s="4" t="str">
        <f>VLOOKUP(A6,Insumos,2)</f>
        <v>cuadrilla tipo UOCRA</v>
      </c>
      <c r="C6" s="6" t="str">
        <f>VLOOKUP(A6,Insumos,3)</f>
        <v>h</v>
      </c>
      <c r="D6" s="60">
        <v>3.14</v>
      </c>
      <c r="E6" s="60">
        <f>VLOOKUP(A6,Insumos,4)</f>
        <v>21.86</v>
      </c>
      <c r="F6" s="79">
        <f>(D6*E6)</f>
        <v>68.6404</v>
      </c>
    </row>
    <row r="7" spans="1:6" ht="12.75">
      <c r="A7" s="94" t="s">
        <v>1075</v>
      </c>
      <c r="D7" s="60"/>
      <c r="E7" s="60"/>
      <c r="F7" s="79"/>
    </row>
    <row r="8" spans="4:6" ht="13.5" thickBot="1">
      <c r="D8" s="60"/>
      <c r="E8" s="60"/>
      <c r="F8" s="79"/>
    </row>
    <row r="9" spans="1:7" ht="13.5" thickTop="1">
      <c r="A9" s="87" t="s">
        <v>1069</v>
      </c>
      <c r="B9" s="8" t="s">
        <v>498</v>
      </c>
      <c r="C9" s="89" t="str">
        <f>Fecha</f>
        <v>JUN/10</v>
      </c>
      <c r="D9" s="57"/>
      <c r="E9" s="57"/>
      <c r="F9" s="77">
        <f>SUM(F11:F14)</f>
        <v>87.0028</v>
      </c>
      <c r="G9" s="50"/>
    </row>
    <row r="10" spans="1:7" ht="13.5" thickBot="1">
      <c r="A10" s="7" t="s">
        <v>1068</v>
      </c>
      <c r="B10" s="7" t="s">
        <v>347</v>
      </c>
      <c r="C10" s="90" t="s">
        <v>1067</v>
      </c>
      <c r="D10" s="58" t="s">
        <v>396</v>
      </c>
      <c r="E10" s="59"/>
      <c r="F10" s="78"/>
      <c r="G10" s="51" t="s">
        <v>652</v>
      </c>
    </row>
    <row r="11" spans="1:6" ht="13.5" thickTop="1">
      <c r="A11" s="94" t="s">
        <v>1073</v>
      </c>
      <c r="D11" s="60"/>
      <c r="E11" s="60"/>
      <c r="F11" s="79"/>
    </row>
    <row r="12" spans="1:6" ht="12.75">
      <c r="A12" s="94" t="s">
        <v>1074</v>
      </c>
      <c r="D12" s="60"/>
      <c r="E12" s="60"/>
      <c r="F12" s="79"/>
    </row>
    <row r="13" spans="1:6" ht="12.75">
      <c r="A13" s="3" t="s">
        <v>289</v>
      </c>
      <c r="B13" s="4" t="str">
        <f>VLOOKUP(A13,Insumos,2)</f>
        <v>cuadrilla tipo UOCRA</v>
      </c>
      <c r="C13" s="6" t="str">
        <f>VLOOKUP(A13,Insumos,3)</f>
        <v>h</v>
      </c>
      <c r="D13" s="60">
        <v>3.98</v>
      </c>
      <c r="E13" s="60">
        <f>VLOOKUP(A13,Insumos,4)</f>
        <v>21.86</v>
      </c>
      <c r="F13" s="79">
        <f>(D13*E13)</f>
        <v>87.0028</v>
      </c>
    </row>
    <row r="14" spans="1:6" ht="12.75">
      <c r="A14" s="94" t="s">
        <v>1075</v>
      </c>
      <c r="D14" s="60"/>
      <c r="E14" s="60"/>
      <c r="F14" s="79"/>
    </row>
    <row r="15" spans="4:6" ht="13.5" thickBot="1">
      <c r="D15" s="60"/>
      <c r="E15" s="60"/>
      <c r="F15" s="79"/>
    </row>
    <row r="16" spans="1:7" ht="13.5" thickTop="1">
      <c r="A16" s="87" t="s">
        <v>1069</v>
      </c>
      <c r="B16" s="8" t="s">
        <v>499</v>
      </c>
      <c r="C16" s="89" t="str">
        <f>Fecha</f>
        <v>JUN/10</v>
      </c>
      <c r="D16" s="57"/>
      <c r="E16" s="74"/>
      <c r="F16" s="77">
        <f>SUM(F18:F21)</f>
        <v>145.1504</v>
      </c>
      <c r="G16" s="50"/>
    </row>
    <row r="17" spans="1:7" ht="13.5" thickBot="1">
      <c r="A17" s="7" t="s">
        <v>1068</v>
      </c>
      <c r="B17" s="7" t="s">
        <v>347</v>
      </c>
      <c r="C17" s="90" t="s">
        <v>1067</v>
      </c>
      <c r="D17" s="58" t="s">
        <v>397</v>
      </c>
      <c r="E17" s="75"/>
      <c r="F17" s="78"/>
      <c r="G17" s="51" t="s">
        <v>652</v>
      </c>
    </row>
    <row r="18" spans="1:6" ht="13.5" thickTop="1">
      <c r="A18" s="94" t="s">
        <v>1073</v>
      </c>
      <c r="D18" s="60"/>
      <c r="F18" s="79"/>
    </row>
    <row r="19" spans="1:6" ht="12.75">
      <c r="A19" s="94" t="s">
        <v>1074</v>
      </c>
      <c r="D19" s="60"/>
      <c r="E19" s="60"/>
      <c r="F19" s="79"/>
    </row>
    <row r="20" spans="1:6" ht="12.75">
      <c r="A20" s="3" t="s">
        <v>289</v>
      </c>
      <c r="B20" s="4" t="str">
        <f>VLOOKUP(A20,Insumos,2)</f>
        <v>cuadrilla tipo UOCRA</v>
      </c>
      <c r="C20" s="6" t="str">
        <f>VLOOKUP(A20,Insumos,3)</f>
        <v>h</v>
      </c>
      <c r="D20" s="60">
        <v>6.64</v>
      </c>
      <c r="E20" s="60">
        <f>VLOOKUP(A20,Insumos,4)</f>
        <v>21.86</v>
      </c>
      <c r="F20" s="79">
        <f>(D20*E20)</f>
        <v>145.1504</v>
      </c>
    </row>
    <row r="21" spans="1:6" ht="12.75">
      <c r="A21" s="94" t="s">
        <v>1075</v>
      </c>
      <c r="D21" s="60"/>
      <c r="E21" s="60"/>
      <c r="F21" s="79"/>
    </row>
    <row r="22" spans="4:6" ht="13.5" thickBot="1">
      <c r="D22" s="60"/>
      <c r="E22" s="60"/>
      <c r="F22" s="79"/>
    </row>
    <row r="23" spans="1:7" ht="13.5" thickTop="1">
      <c r="A23" s="87" t="s">
        <v>1069</v>
      </c>
      <c r="B23" s="8" t="s">
        <v>500</v>
      </c>
      <c r="C23" s="89" t="str">
        <f>Fecha</f>
        <v>JUN/10</v>
      </c>
      <c r="D23" s="57"/>
      <c r="E23" s="57"/>
      <c r="F23" s="77">
        <f>SUM(F25:F29)</f>
        <v>90.90679999999999</v>
      </c>
      <c r="G23" s="50"/>
    </row>
    <row r="24" spans="1:7" ht="13.5" thickBot="1">
      <c r="A24" s="7" t="s">
        <v>1068</v>
      </c>
      <c r="B24" s="7" t="s">
        <v>347</v>
      </c>
      <c r="C24" s="90" t="s">
        <v>1067</v>
      </c>
      <c r="D24" s="58" t="s">
        <v>478</v>
      </c>
      <c r="E24" s="59"/>
      <c r="F24" s="78"/>
      <c r="G24" s="51" t="s">
        <v>652</v>
      </c>
    </row>
    <row r="25" spans="1:6" ht="13.5" thickTop="1">
      <c r="A25" s="94" t="s">
        <v>1073</v>
      </c>
      <c r="D25" s="60"/>
      <c r="E25" s="60"/>
      <c r="F25" s="79"/>
    </row>
    <row r="26" spans="1:6" ht="12.75">
      <c r="A26" s="94" t="s">
        <v>1074</v>
      </c>
      <c r="D26" s="60"/>
      <c r="E26" s="60"/>
      <c r="F26" s="79"/>
    </row>
    <row r="27" spans="1:6" ht="12.75">
      <c r="A27" s="3" t="s">
        <v>289</v>
      </c>
      <c r="B27" s="4" t="str">
        <f>VLOOKUP(A27,Insumos,2)</f>
        <v>cuadrilla tipo UOCRA</v>
      </c>
      <c r="C27" s="6" t="str">
        <f>VLOOKUP(A27,Insumos,3)</f>
        <v>h</v>
      </c>
      <c r="D27" s="60">
        <v>3.98</v>
      </c>
      <c r="E27" s="60">
        <f>VLOOKUP(A27,Insumos,4)</f>
        <v>21.86</v>
      </c>
      <c r="F27" s="79">
        <f>(D27*E27)</f>
        <v>87.0028</v>
      </c>
    </row>
    <row r="28" spans="1:6" ht="12.75">
      <c r="A28" s="94" t="s">
        <v>1075</v>
      </c>
      <c r="D28" s="60"/>
      <c r="E28" s="60"/>
      <c r="F28" s="79"/>
    </row>
    <row r="29" spans="1:6" ht="12.75">
      <c r="A29" s="3" t="s">
        <v>290</v>
      </c>
      <c r="B29" s="4" t="str">
        <f>VLOOKUP(A29,Insumos,2)</f>
        <v>canasta 1 (camión volcador)</v>
      </c>
      <c r="C29" s="6" t="str">
        <f>VLOOKUP(A29,Insumos,3)</f>
        <v>h</v>
      </c>
      <c r="D29" s="60">
        <v>0.02</v>
      </c>
      <c r="E29" s="60">
        <f>VLOOKUP(A29,Insumos,4)</f>
        <v>195.2</v>
      </c>
      <c r="F29" s="79">
        <f>(D29*E29)</f>
        <v>3.904</v>
      </c>
    </row>
    <row r="30" spans="1:6" ht="13.5" thickBot="1">
      <c r="A30" s="3"/>
      <c r="B30" s="4"/>
      <c r="C30" s="6"/>
      <c r="D30" s="60"/>
      <c r="E30" s="60"/>
      <c r="F30" s="79"/>
    </row>
    <row r="31" spans="1:7" ht="13.5" thickTop="1">
      <c r="A31" s="87" t="s">
        <v>1069</v>
      </c>
      <c r="B31" s="8" t="s">
        <v>503</v>
      </c>
      <c r="C31" s="89" t="str">
        <f>Fecha</f>
        <v>JUN/10</v>
      </c>
      <c r="D31" s="57"/>
      <c r="E31" s="57"/>
      <c r="F31" s="77">
        <f>SUM(F33:F38)</f>
        <v>49.92244</v>
      </c>
      <c r="G31" s="50"/>
    </row>
    <row r="32" spans="1:7" ht="13.5" thickBot="1">
      <c r="A32" s="7" t="s">
        <v>1068</v>
      </c>
      <c r="B32" s="7" t="s">
        <v>347</v>
      </c>
      <c r="C32" s="90" t="s">
        <v>1067</v>
      </c>
      <c r="D32" s="58" t="s">
        <v>504</v>
      </c>
      <c r="E32" s="59"/>
      <c r="F32" s="78"/>
      <c r="G32" s="51" t="s">
        <v>652</v>
      </c>
    </row>
    <row r="33" spans="1:6" ht="13.5" thickTop="1">
      <c r="A33" s="94" t="s">
        <v>1073</v>
      </c>
      <c r="D33" s="60"/>
      <c r="E33" s="60"/>
      <c r="F33" s="79"/>
    </row>
    <row r="34" spans="1:6" ht="12.75">
      <c r="A34" s="94" t="s">
        <v>1074</v>
      </c>
      <c r="D34" s="60"/>
      <c r="E34" s="60"/>
      <c r="F34" s="79"/>
    </row>
    <row r="35" spans="1:6" ht="12.75">
      <c r="A35" s="3" t="s">
        <v>289</v>
      </c>
      <c r="B35" s="4" t="str">
        <f>VLOOKUP(A35,Insumos,2)</f>
        <v>cuadrilla tipo UOCRA</v>
      </c>
      <c r="C35" s="6" t="str">
        <f>VLOOKUP(A35,Insumos,3)</f>
        <v>h</v>
      </c>
      <c r="D35" s="60">
        <v>2</v>
      </c>
      <c r="E35" s="60">
        <f>VLOOKUP(A35,Insumos,4)</f>
        <v>21.86</v>
      </c>
      <c r="F35" s="79">
        <f>(D35*E35)</f>
        <v>43.72</v>
      </c>
    </row>
    <row r="36" spans="1:6" ht="12.75">
      <c r="A36" s="94" t="s">
        <v>1075</v>
      </c>
      <c r="D36" s="60"/>
      <c r="E36" s="60"/>
      <c r="F36" s="79"/>
    </row>
    <row r="37" spans="1:6" ht="12.75">
      <c r="A37" s="3" t="s">
        <v>479</v>
      </c>
      <c r="B37" s="4" t="str">
        <f>VLOOKUP(A37,Insumos,2)</f>
        <v>motoniveladora</v>
      </c>
      <c r="C37" s="6" t="str">
        <f>VLOOKUP(A37,Insumos,3)</f>
        <v>h</v>
      </c>
      <c r="D37" s="60">
        <v>0.027</v>
      </c>
      <c r="E37" s="60">
        <f>VLOOKUP(A37,Insumos,4)</f>
        <v>229.72</v>
      </c>
      <c r="F37" s="79">
        <f>(D37*E37)</f>
        <v>6.20244</v>
      </c>
    </row>
    <row r="38" spans="1:6" ht="13.5" thickBot="1">
      <c r="A38" s="3"/>
      <c r="B38" s="4"/>
      <c r="C38" s="6"/>
      <c r="D38" s="60"/>
      <c r="E38" s="60"/>
      <c r="F38" s="79"/>
    </row>
    <row r="39" spans="1:7" ht="13.5" thickTop="1">
      <c r="A39" s="87" t="s">
        <v>1069</v>
      </c>
      <c r="B39" s="8" t="s">
        <v>709</v>
      </c>
      <c r="C39" s="89" t="str">
        <f>Fecha</f>
        <v>JUN/10</v>
      </c>
      <c r="D39" s="57"/>
      <c r="E39" s="57"/>
      <c r="F39" s="77">
        <f>SUM(F41:F45)</f>
        <v>50.90299999999999</v>
      </c>
      <c r="G39" s="50"/>
    </row>
    <row r="40" spans="1:7" ht="13.5" thickBot="1">
      <c r="A40" s="7" t="s">
        <v>1068</v>
      </c>
      <c r="B40" s="7" t="s">
        <v>347</v>
      </c>
      <c r="C40" s="90" t="s">
        <v>1067</v>
      </c>
      <c r="D40" s="58" t="s">
        <v>505</v>
      </c>
      <c r="E40" s="59"/>
      <c r="F40" s="78"/>
      <c r="G40" s="51" t="s">
        <v>652</v>
      </c>
    </row>
    <row r="41" spans="1:6" ht="13.5" thickTop="1">
      <c r="A41" s="94" t="s">
        <v>1073</v>
      </c>
      <c r="D41" s="60"/>
      <c r="E41" s="60"/>
      <c r="F41" s="79"/>
    </row>
    <row r="42" spans="1:6" ht="12.75">
      <c r="A42" s="94" t="s">
        <v>1074</v>
      </c>
      <c r="D42" s="60"/>
      <c r="E42" s="60"/>
      <c r="F42" s="79"/>
    </row>
    <row r="43" spans="1:6" ht="12.75">
      <c r="A43" s="3" t="s">
        <v>289</v>
      </c>
      <c r="B43" s="4" t="str">
        <f>VLOOKUP(A43,Insumos,2)</f>
        <v>cuadrilla tipo UOCRA</v>
      </c>
      <c r="C43" s="6" t="str">
        <f>VLOOKUP(A43,Insumos,3)</f>
        <v>h</v>
      </c>
      <c r="D43" s="60">
        <v>2.15</v>
      </c>
      <c r="E43" s="60">
        <f>VLOOKUP(A43,Insumos,4)</f>
        <v>21.86</v>
      </c>
      <c r="F43" s="79">
        <f>(D43*E43)</f>
        <v>46.998999999999995</v>
      </c>
    </row>
    <row r="44" spans="1:6" ht="12.75">
      <c r="A44" s="94" t="s">
        <v>1075</v>
      </c>
      <c r="D44" s="60"/>
      <c r="E44" s="60"/>
      <c r="F44" s="79"/>
    </row>
    <row r="45" spans="1:6" ht="12.75">
      <c r="A45" s="3" t="s">
        <v>290</v>
      </c>
      <c r="B45" s="4" t="str">
        <f>VLOOKUP(A45,Insumos,2)</f>
        <v>canasta 1 (camión volcador)</v>
      </c>
      <c r="C45" s="6" t="str">
        <f>VLOOKUP(A45,Insumos,3)</f>
        <v>h</v>
      </c>
      <c r="D45" s="60">
        <v>0.02</v>
      </c>
      <c r="E45" s="60">
        <f>VLOOKUP(A45,Insumos,4)</f>
        <v>195.2</v>
      </c>
      <c r="F45" s="79">
        <f>(D45*E45)</f>
        <v>3.904</v>
      </c>
    </row>
    <row r="46" spans="1:6" ht="13.5" thickBot="1">
      <c r="A46" s="3"/>
      <c r="B46" s="4"/>
      <c r="C46" s="6"/>
      <c r="D46" s="60"/>
      <c r="E46" s="60"/>
      <c r="F46" s="79"/>
    </row>
    <row r="47" spans="1:7" ht="13.5" thickTop="1">
      <c r="A47" s="87" t="s">
        <v>1069</v>
      </c>
      <c r="B47" s="8" t="s">
        <v>1093</v>
      </c>
      <c r="C47" s="89" t="str">
        <f>Fecha</f>
        <v>JUN/10</v>
      </c>
      <c r="D47" s="57"/>
      <c r="E47" s="57"/>
      <c r="F47" s="77">
        <f>SUM(F49:F53)</f>
        <v>8.85219</v>
      </c>
      <c r="G47" s="50"/>
    </row>
    <row r="48" spans="1:7" ht="13.5" thickBot="1">
      <c r="A48" s="7" t="s">
        <v>1068</v>
      </c>
      <c r="B48" s="7" t="s">
        <v>347</v>
      </c>
      <c r="C48" s="90" t="s">
        <v>1067</v>
      </c>
      <c r="D48" s="58" t="s">
        <v>1095</v>
      </c>
      <c r="E48" s="59"/>
      <c r="F48" s="78"/>
      <c r="G48" s="51" t="s">
        <v>652</v>
      </c>
    </row>
    <row r="49" spans="1:6" ht="13.5" thickTop="1">
      <c r="A49" s="94" t="s">
        <v>1073</v>
      </c>
      <c r="D49" s="60"/>
      <c r="E49" s="60"/>
      <c r="F49" s="79"/>
    </row>
    <row r="50" spans="1:6" ht="12.75">
      <c r="A50" s="94" t="s">
        <v>1074</v>
      </c>
      <c r="D50" s="60"/>
      <c r="E50" s="60"/>
      <c r="F50" s="79"/>
    </row>
    <row r="51" spans="1:8" ht="12.75">
      <c r="A51" s="3" t="s">
        <v>289</v>
      </c>
      <c r="B51" s="4" t="str">
        <f>VLOOKUP(A51,Insumos,2)</f>
        <v>cuadrilla tipo UOCRA</v>
      </c>
      <c r="C51" s="6" t="str">
        <f>VLOOKUP(A51,Insumos,3)</f>
        <v>h</v>
      </c>
      <c r="D51" s="60">
        <v>0.164</v>
      </c>
      <c r="E51" s="60">
        <f>VLOOKUP(A51,Insumos,4)</f>
        <v>21.86</v>
      </c>
      <c r="F51" s="79">
        <f>(D51*E51)</f>
        <v>3.5850400000000002</v>
      </c>
      <c r="H51" s="98"/>
    </row>
    <row r="52" spans="1:6" ht="12.75">
      <c r="A52" s="94" t="s">
        <v>1075</v>
      </c>
      <c r="D52" s="60"/>
      <c r="E52" s="60"/>
      <c r="F52" s="79"/>
    </row>
    <row r="53" spans="1:8" ht="12.75">
      <c r="A53" s="3" t="s">
        <v>623</v>
      </c>
      <c r="B53" s="4" t="str">
        <f>VLOOKUP(A53,Insumos,2)</f>
        <v>canasta 3 (retroexcavadora 87 HP)</v>
      </c>
      <c r="C53" s="6" t="str">
        <f>VLOOKUP(A53,Insumos,3)</f>
        <v>h</v>
      </c>
      <c r="D53" s="60">
        <v>0.035</v>
      </c>
      <c r="E53" s="60">
        <f>VLOOKUP(A53,Insumos,4)</f>
        <v>150.49</v>
      </c>
      <c r="F53" s="79">
        <f>(D53*E53)</f>
        <v>5.267150000000001</v>
      </c>
      <c r="H53" s="98"/>
    </row>
    <row r="54" ht="13.5" thickBot="1"/>
    <row r="55" spans="1:7" ht="13.5" thickTop="1">
      <c r="A55" s="87" t="s">
        <v>1069</v>
      </c>
      <c r="B55" s="8" t="s">
        <v>1094</v>
      </c>
      <c r="C55" s="89" t="str">
        <f>Fecha</f>
        <v>JUN/10</v>
      </c>
      <c r="D55" s="57"/>
      <c r="E55" s="57"/>
      <c r="F55" s="77">
        <f>SUM(F57:F62)</f>
        <v>2.6606</v>
      </c>
      <c r="G55" s="50"/>
    </row>
    <row r="56" spans="1:7" ht="13.5" thickBot="1">
      <c r="A56" s="7" t="s">
        <v>1068</v>
      </c>
      <c r="B56" s="7" t="s">
        <v>347</v>
      </c>
      <c r="C56" s="90" t="s">
        <v>1067</v>
      </c>
      <c r="D56" s="58" t="s">
        <v>1096</v>
      </c>
      <c r="E56" s="59"/>
      <c r="F56" s="78"/>
      <c r="G56" s="51" t="s">
        <v>652</v>
      </c>
    </row>
    <row r="57" spans="1:6" ht="13.5" thickTop="1">
      <c r="A57" s="94" t="s">
        <v>1073</v>
      </c>
      <c r="D57" s="60"/>
      <c r="E57" s="60"/>
      <c r="F57" s="79"/>
    </row>
    <row r="58" spans="1:6" ht="12.75">
      <c r="A58" s="94" t="s">
        <v>1074</v>
      </c>
      <c r="D58" s="60"/>
      <c r="E58" s="60"/>
      <c r="F58" s="79"/>
    </row>
    <row r="59" spans="1:8" ht="12.75">
      <c r="A59" s="3" t="s">
        <v>289</v>
      </c>
      <c r="B59" s="4" t="str">
        <f>VLOOKUP(A59,Insumos,2)</f>
        <v>cuadrilla tipo UOCRA</v>
      </c>
      <c r="C59" s="6" t="str">
        <f>VLOOKUP(A59,Insumos,3)</f>
        <v>h</v>
      </c>
      <c r="D59" s="60">
        <v>0.05</v>
      </c>
      <c r="E59" s="60">
        <f>VLOOKUP(A59,Insumos,4)</f>
        <v>21.86</v>
      </c>
      <c r="F59" s="79">
        <f>(D59*E59)</f>
        <v>1.093</v>
      </c>
      <c r="H59" s="98"/>
    </row>
    <row r="60" spans="1:6" ht="12.75">
      <c r="A60" s="94" t="s">
        <v>1075</v>
      </c>
      <c r="D60" s="60"/>
      <c r="E60" s="60"/>
      <c r="F60" s="79"/>
    </row>
    <row r="61" spans="1:8" ht="12.75">
      <c r="A61" s="3" t="s">
        <v>623</v>
      </c>
      <c r="B61" s="4" t="str">
        <f>VLOOKUP(A61,Insumos,2)</f>
        <v>canasta 3 (retroexcavadora 87 HP)</v>
      </c>
      <c r="C61" s="6" t="str">
        <f>VLOOKUP(A61,Insumos,3)</f>
        <v>h</v>
      </c>
      <c r="D61" s="60">
        <v>0.005</v>
      </c>
      <c r="E61" s="60">
        <f>VLOOKUP(A61,Insumos,4)</f>
        <v>150.49</v>
      </c>
      <c r="F61" s="79">
        <f>(D61*E61)</f>
        <v>0.7524500000000001</v>
      </c>
      <c r="H61" s="98"/>
    </row>
    <row r="62" spans="1:8" ht="12.75">
      <c r="A62" s="3" t="s">
        <v>480</v>
      </c>
      <c r="B62" s="4" t="str">
        <f>VLOOKUP(A62,Insumos,2)</f>
        <v>vibrocompactador autopropulsado 120 HP</v>
      </c>
      <c r="C62" s="6" t="str">
        <f>VLOOKUP(A62,Insumos,3)</f>
        <v>h</v>
      </c>
      <c r="D62" s="60">
        <v>0.005</v>
      </c>
      <c r="E62" s="60">
        <f>VLOOKUP(A62,Insumos,4)</f>
        <v>163.03</v>
      </c>
      <c r="F62" s="79">
        <f>(D62*E62)</f>
        <v>0.81515</v>
      </c>
      <c r="H62" s="98"/>
    </row>
  </sheetData>
  <sheetProtection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workbookViewId="0" topLeftCell="A1">
      <selection activeCell="B25" sqref="B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1069</v>
      </c>
      <c r="B2" s="8" t="s">
        <v>511</v>
      </c>
      <c r="C2" s="89" t="str">
        <f>Fecha</f>
        <v>JUN/10</v>
      </c>
      <c r="D2" s="57"/>
      <c r="E2" s="57"/>
      <c r="F2" s="77">
        <f>SUM(F4:F11)</f>
        <v>16.916310000000003</v>
      </c>
      <c r="G2" s="50"/>
    </row>
    <row r="3" spans="1:7" ht="13.5" thickBot="1">
      <c r="A3" s="7" t="s">
        <v>1068</v>
      </c>
      <c r="B3" s="7" t="s">
        <v>348</v>
      </c>
      <c r="C3" s="90" t="s">
        <v>1067</v>
      </c>
      <c r="D3" s="58" t="s">
        <v>510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292</v>
      </c>
      <c r="B5" s="4" t="str">
        <f>VLOOKUP(A5,Insumos,2)</f>
        <v>cemento Portland</v>
      </c>
      <c r="C5" s="6" t="str">
        <f>VLOOKUP(A5,Insumos,3)</f>
        <v>kg</v>
      </c>
      <c r="D5" s="60">
        <v>10</v>
      </c>
      <c r="E5" s="60">
        <f>VLOOKUP(A5,Insumos,4)</f>
        <v>0.4787</v>
      </c>
      <c r="F5" s="79">
        <f>(D5*E5)</f>
        <v>4.787</v>
      </c>
    </row>
    <row r="6" spans="1:6" ht="12.75">
      <c r="A6" s="3" t="s">
        <v>293</v>
      </c>
      <c r="B6" s="4" t="str">
        <f>VLOOKUP(A6,Insumos,2)</f>
        <v>ripio zarandeado 1/3</v>
      </c>
      <c r="C6" s="6" t="str">
        <f>VLOOKUP(A6,Insumos,3)</f>
        <v>m3</v>
      </c>
      <c r="D6" s="60">
        <v>0.035</v>
      </c>
      <c r="E6" s="60">
        <f>VLOOKUP(A6,Insumos,4)</f>
        <v>45.5</v>
      </c>
      <c r="F6" s="79">
        <f>(D6*E6)</f>
        <v>1.5925000000000002</v>
      </c>
    </row>
    <row r="7" spans="1:6" ht="12.75">
      <c r="A7" s="3" t="s">
        <v>294</v>
      </c>
      <c r="B7" s="4" t="str">
        <f>VLOOKUP(A7,Insumos,2)</f>
        <v>arena gruesa</v>
      </c>
      <c r="C7" s="6" t="str">
        <f>VLOOKUP(A7,Insumos,3)</f>
        <v>m3</v>
      </c>
      <c r="D7" s="60">
        <v>0.03</v>
      </c>
      <c r="E7" s="60">
        <f>VLOOKUP(A7,Insumos,4)</f>
        <v>51</v>
      </c>
      <c r="F7" s="79">
        <f>(D7*E7)</f>
        <v>1.53</v>
      </c>
    </row>
    <row r="8" spans="1:6" ht="12.75">
      <c r="A8" s="94" t="s">
        <v>1074</v>
      </c>
      <c r="D8" s="60"/>
      <c r="E8" s="60"/>
      <c r="F8" s="79"/>
    </row>
    <row r="9" spans="1:6" ht="12.75">
      <c r="A9" s="3" t="s">
        <v>289</v>
      </c>
      <c r="B9" s="4" t="str">
        <f>VLOOKUP(A9,Insumos,2)</f>
        <v>cuadrilla tipo UOCRA</v>
      </c>
      <c r="C9" s="6" t="str">
        <f>VLOOKUP(A9,Insumos,3)</f>
        <v>h</v>
      </c>
      <c r="D9" s="60">
        <v>0.4</v>
      </c>
      <c r="E9" s="60">
        <f>VLOOKUP(A9,Insumos,4)</f>
        <v>21.86</v>
      </c>
      <c r="F9" s="79">
        <f>(D9*E9)</f>
        <v>8.744</v>
      </c>
    </row>
    <row r="10" spans="1:6" ht="12.75">
      <c r="A10" s="94" t="s">
        <v>1075</v>
      </c>
      <c r="D10" s="60"/>
      <c r="E10" s="60"/>
      <c r="F10" s="79"/>
    </row>
    <row r="11" spans="1:6" ht="12.75">
      <c r="A11" s="3" t="s">
        <v>295</v>
      </c>
      <c r="B11" s="4" t="str">
        <f>VLOOKUP(A11,Insumos,2)</f>
        <v>canasta 2 (mixer 5m3)</v>
      </c>
      <c r="C11" s="6" t="str">
        <f>VLOOKUP(A11,Insumos,3)</f>
        <v>h</v>
      </c>
      <c r="D11" s="60">
        <v>0.001</v>
      </c>
      <c r="E11" s="60">
        <f>VLOOKUP(A11,Insumos,4)</f>
        <v>262.81</v>
      </c>
      <c r="F11" s="79">
        <f>(D11*E11)</f>
        <v>0.26281</v>
      </c>
    </row>
    <row r="12" ht="13.5" thickBot="1">
      <c r="D12" s="60"/>
    </row>
    <row r="13" spans="1:7" ht="13.5" thickTop="1">
      <c r="A13" s="87" t="s">
        <v>1069</v>
      </c>
      <c r="B13" s="8" t="s">
        <v>521</v>
      </c>
      <c r="C13" s="89" t="str">
        <f>Fecha</f>
        <v>JUN/10</v>
      </c>
      <c r="D13" s="57"/>
      <c r="E13" s="57"/>
      <c r="F13" s="77">
        <f>SUM(F15:F23)</f>
        <v>888.764726</v>
      </c>
      <c r="G13" s="50"/>
    </row>
    <row r="14" spans="1:7" ht="13.5" thickBot="1">
      <c r="A14" s="7" t="s">
        <v>1068</v>
      </c>
      <c r="B14" s="7" t="s">
        <v>348</v>
      </c>
      <c r="C14" s="90" t="s">
        <v>1067</v>
      </c>
      <c r="D14" s="58" t="s">
        <v>533</v>
      </c>
      <c r="E14" s="59"/>
      <c r="F14" s="78"/>
      <c r="G14" s="51" t="s">
        <v>652</v>
      </c>
    </row>
    <row r="15" spans="1:6" ht="13.5" thickTop="1">
      <c r="A15" s="94" t="s">
        <v>1073</v>
      </c>
      <c r="D15" s="60"/>
      <c r="E15" s="60"/>
      <c r="F15" s="79"/>
    </row>
    <row r="16" spans="1:6" ht="12.75">
      <c r="A16" s="3" t="s">
        <v>291</v>
      </c>
      <c r="B16" s="4" t="str">
        <f>VLOOKUP(A16,Insumos,2)</f>
        <v>hierro mejorado de 10 mm.</v>
      </c>
      <c r="C16" s="6" t="str">
        <f>VLOOKUP(A16,Insumos,3)</f>
        <v>kg</v>
      </c>
      <c r="D16" s="60">
        <v>58.78</v>
      </c>
      <c r="E16" s="60">
        <f>VLOOKUP(A16,Insumos,4)</f>
        <v>4.1892</v>
      </c>
      <c r="F16" s="79">
        <f>(D16*E16)</f>
        <v>246.24117599999997</v>
      </c>
    </row>
    <row r="17" spans="1:6" ht="12.75">
      <c r="A17" s="3" t="s">
        <v>292</v>
      </c>
      <c r="B17" s="4" t="str">
        <f>VLOOKUP(A17,Insumos,2)</f>
        <v>cemento Portland</v>
      </c>
      <c r="C17" s="6" t="str">
        <f>VLOOKUP(A17,Insumos,3)</f>
        <v>kg</v>
      </c>
      <c r="D17" s="60">
        <v>250</v>
      </c>
      <c r="E17" s="60">
        <f>VLOOKUP(A17,Insumos,4)</f>
        <v>0.4787</v>
      </c>
      <c r="F17" s="79">
        <f>(D17*E17)</f>
        <v>119.675</v>
      </c>
    </row>
    <row r="18" spans="1:6" ht="12.75">
      <c r="A18" s="3" t="s">
        <v>293</v>
      </c>
      <c r="B18" s="4" t="str">
        <f>VLOOKUP(A18,Insumos,2)</f>
        <v>ripio zarandeado 1/3</v>
      </c>
      <c r="C18" s="6" t="str">
        <f>VLOOKUP(A18,Insumos,3)</f>
        <v>m3</v>
      </c>
      <c r="D18" s="60">
        <v>0.7</v>
      </c>
      <c r="E18" s="60">
        <f>VLOOKUP(A18,Insumos,4)</f>
        <v>45.5</v>
      </c>
      <c r="F18" s="79">
        <f>(D18*E18)</f>
        <v>31.849999999999998</v>
      </c>
    </row>
    <row r="19" spans="1:6" ht="12.75">
      <c r="A19" s="3" t="s">
        <v>294</v>
      </c>
      <c r="B19" s="4" t="str">
        <f>VLOOKUP(A19,Insumos,2)</f>
        <v>arena gruesa</v>
      </c>
      <c r="C19" s="6" t="str">
        <f>VLOOKUP(A19,Insumos,3)</f>
        <v>m3</v>
      </c>
      <c r="D19" s="60">
        <v>0.6</v>
      </c>
      <c r="E19" s="60">
        <f>VLOOKUP(A19,Insumos,4)</f>
        <v>51</v>
      </c>
      <c r="F19" s="79">
        <f>(D19*E19)</f>
        <v>30.599999999999998</v>
      </c>
    </row>
    <row r="20" spans="1:6" ht="12.75">
      <c r="A20" s="94" t="s">
        <v>1074</v>
      </c>
      <c r="D20" s="60"/>
      <c r="E20" s="60"/>
      <c r="F20" s="79"/>
    </row>
    <row r="21" spans="1:6" ht="12.75">
      <c r="A21" s="3" t="s">
        <v>289</v>
      </c>
      <c r="B21" s="4" t="str">
        <f>VLOOKUP(A21,Insumos,2)</f>
        <v>cuadrilla tipo UOCRA</v>
      </c>
      <c r="C21" s="6" t="str">
        <f>VLOOKUP(A21,Insumos,3)</f>
        <v>h</v>
      </c>
      <c r="D21" s="65">
        <v>20.4</v>
      </c>
      <c r="E21" s="60">
        <f>VLOOKUP(A21,Insumos,4)</f>
        <v>21.86</v>
      </c>
      <c r="F21" s="79">
        <f>(D21*E21)</f>
        <v>445.94399999999996</v>
      </c>
    </row>
    <row r="22" spans="1:6" ht="12.75">
      <c r="A22" s="94" t="s">
        <v>1075</v>
      </c>
      <c r="D22" s="60"/>
      <c r="E22" s="60"/>
      <c r="F22" s="79"/>
    </row>
    <row r="23" spans="1:6" ht="12.75">
      <c r="A23" s="3" t="s">
        <v>295</v>
      </c>
      <c r="B23" s="4" t="str">
        <f>VLOOKUP(A23,Insumos,2)</f>
        <v>canasta 2 (mixer 5m3)</v>
      </c>
      <c r="C23" s="6" t="str">
        <f>VLOOKUP(A23,Insumos,3)</f>
        <v>h</v>
      </c>
      <c r="D23" s="60">
        <v>0.055</v>
      </c>
      <c r="E23" s="60">
        <f>VLOOKUP(A23,Insumos,4)</f>
        <v>262.81</v>
      </c>
      <c r="F23" s="79">
        <f>(D23*E23)</f>
        <v>14.45455</v>
      </c>
    </row>
    <row r="24" spans="4:6" ht="13.5" thickBot="1">
      <c r="D24" s="60"/>
      <c r="E24" s="60"/>
      <c r="F24" s="79"/>
    </row>
    <row r="25" spans="1:7" ht="13.5" thickTop="1">
      <c r="A25" s="87" t="s">
        <v>1069</v>
      </c>
      <c r="B25" s="8" t="s">
        <v>522</v>
      </c>
      <c r="C25" s="89" t="str">
        <f>Fecha</f>
        <v>JUN/10</v>
      </c>
      <c r="D25" s="57"/>
      <c r="E25" s="57"/>
      <c r="F25" s="77">
        <f>SUM(F27:F35)</f>
        <v>1136.31155</v>
      </c>
      <c r="G25" s="50"/>
    </row>
    <row r="26" spans="1:7" ht="13.5" thickBot="1">
      <c r="A26" s="7" t="s">
        <v>1068</v>
      </c>
      <c r="B26" s="7" t="s">
        <v>348</v>
      </c>
      <c r="C26" s="90" t="s">
        <v>1067</v>
      </c>
      <c r="D26" s="58" t="s">
        <v>532</v>
      </c>
      <c r="E26" s="59"/>
      <c r="F26" s="78"/>
      <c r="G26" s="51" t="s">
        <v>652</v>
      </c>
    </row>
    <row r="27" spans="1:6" ht="13.5" thickTop="1">
      <c r="A27" s="94" t="s">
        <v>1073</v>
      </c>
      <c r="D27" s="60"/>
      <c r="E27" s="60"/>
      <c r="F27" s="79"/>
    </row>
    <row r="28" spans="1:6" ht="12.75">
      <c r="A28" s="3" t="s">
        <v>291</v>
      </c>
      <c r="B28" s="4" t="str">
        <f>VLOOKUP(A28,Insumos,2)</f>
        <v>hierro mejorado de 10 mm.</v>
      </c>
      <c r="C28" s="6" t="str">
        <f>VLOOKUP(A28,Insumos,3)</f>
        <v>kg</v>
      </c>
      <c r="D28" s="60">
        <v>72.5</v>
      </c>
      <c r="E28" s="60">
        <f>VLOOKUP(A28,Insumos,4)</f>
        <v>4.1892</v>
      </c>
      <c r="F28" s="79">
        <f>(D28*E28)</f>
        <v>303.717</v>
      </c>
    </row>
    <row r="29" spans="1:6" ht="12.75">
      <c r="A29" s="3" t="s">
        <v>292</v>
      </c>
      <c r="B29" s="4" t="str">
        <f>VLOOKUP(A29,Insumos,2)</f>
        <v>cemento Portland</v>
      </c>
      <c r="C29" s="6" t="str">
        <f>VLOOKUP(A29,Insumos,3)</f>
        <v>kg</v>
      </c>
      <c r="D29" s="60">
        <v>300</v>
      </c>
      <c r="E29" s="60">
        <f>VLOOKUP(A29,Insumos,4)</f>
        <v>0.4787</v>
      </c>
      <c r="F29" s="79">
        <f>(D29*E29)</f>
        <v>143.61</v>
      </c>
    </row>
    <row r="30" spans="1:6" ht="12.75">
      <c r="A30" s="3" t="s">
        <v>293</v>
      </c>
      <c r="B30" s="4" t="str">
        <f>VLOOKUP(A30,Insumos,2)</f>
        <v>ripio zarandeado 1/3</v>
      </c>
      <c r="C30" s="6" t="str">
        <f>VLOOKUP(A30,Insumos,3)</f>
        <v>m3</v>
      </c>
      <c r="D30" s="60">
        <v>0.7</v>
      </c>
      <c r="E30" s="60">
        <f>VLOOKUP(A30,Insumos,4)</f>
        <v>45.5</v>
      </c>
      <c r="F30" s="79">
        <f>(D30*E30)</f>
        <v>31.849999999999998</v>
      </c>
    </row>
    <row r="31" spans="1:6" ht="12.75">
      <c r="A31" s="3" t="s">
        <v>294</v>
      </c>
      <c r="B31" s="4" t="str">
        <f>VLOOKUP(A31,Insumos,2)</f>
        <v>arena gruesa</v>
      </c>
      <c r="C31" s="6" t="str">
        <f>VLOOKUP(A31,Insumos,3)</f>
        <v>m3</v>
      </c>
      <c r="D31" s="60">
        <v>0.6</v>
      </c>
      <c r="E31" s="60">
        <f>VLOOKUP(A31,Insumos,4)</f>
        <v>51</v>
      </c>
      <c r="F31" s="79">
        <f>(D31*E31)</f>
        <v>30.599999999999998</v>
      </c>
    </row>
    <row r="32" spans="1:6" ht="12.75">
      <c r="A32" s="94" t="s">
        <v>1074</v>
      </c>
      <c r="D32" s="60"/>
      <c r="E32" s="60"/>
      <c r="F32" s="79"/>
    </row>
    <row r="33" spans="1:6" ht="12.75">
      <c r="A33" s="3" t="s">
        <v>289</v>
      </c>
      <c r="B33" s="4" t="str">
        <f>VLOOKUP(A33,Insumos,2)</f>
        <v>cuadrilla tipo UOCRA</v>
      </c>
      <c r="C33" s="6" t="str">
        <f>VLOOKUP(A33,Insumos,3)</f>
        <v>h</v>
      </c>
      <c r="D33" s="73">
        <v>28</v>
      </c>
      <c r="E33" s="60">
        <f>VLOOKUP(A33,Insumos,4)</f>
        <v>21.86</v>
      </c>
      <c r="F33" s="79">
        <f>(D33*E33)</f>
        <v>612.0799999999999</v>
      </c>
    </row>
    <row r="34" spans="1:6" ht="12.75">
      <c r="A34" s="94" t="s">
        <v>1075</v>
      </c>
      <c r="D34" s="60"/>
      <c r="E34" s="60"/>
      <c r="F34" s="79"/>
    </row>
    <row r="35" spans="1:6" ht="12.75">
      <c r="A35" s="3" t="s">
        <v>295</v>
      </c>
      <c r="B35" s="4" t="str">
        <f>VLOOKUP(A35,Insumos,2)</f>
        <v>canasta 2 (mixer 5m3)</v>
      </c>
      <c r="C35" s="6" t="str">
        <f>VLOOKUP(A35,Insumos,3)</f>
        <v>h</v>
      </c>
      <c r="D35" s="60">
        <v>0.055</v>
      </c>
      <c r="E35" s="60">
        <f>VLOOKUP(A35,Insumos,4)</f>
        <v>262.81</v>
      </c>
      <c r="F35" s="79">
        <f>(D35*E35)</f>
        <v>14.45455</v>
      </c>
    </row>
    <row r="36" spans="1:6" ht="13.5" thickBot="1">
      <c r="A36" s="3"/>
      <c r="B36" s="4"/>
      <c r="C36" s="6"/>
      <c r="D36" s="60"/>
      <c r="E36" s="60"/>
      <c r="F36" s="79"/>
    </row>
    <row r="37" spans="1:7" ht="13.5" thickTop="1">
      <c r="A37" s="87" t="s">
        <v>1069</v>
      </c>
      <c r="B37" s="8" t="s">
        <v>531</v>
      </c>
      <c r="C37" s="89" t="str">
        <f>Fecha</f>
        <v>JUN/10</v>
      </c>
      <c r="D37" s="57"/>
      <c r="E37" s="57"/>
      <c r="F37" s="77">
        <f>SUM(F39:F47)</f>
        <v>1011.9758750000001</v>
      </c>
      <c r="G37" s="50"/>
    </row>
    <row r="38" spans="1:7" ht="13.5" thickBot="1">
      <c r="A38" s="7" t="s">
        <v>1068</v>
      </c>
      <c r="B38" s="7" t="s">
        <v>348</v>
      </c>
      <c r="C38" s="90" t="s">
        <v>1067</v>
      </c>
      <c r="D38" s="58" t="s">
        <v>534</v>
      </c>
      <c r="E38" s="59"/>
      <c r="F38" s="78"/>
      <c r="G38" s="51" t="s">
        <v>652</v>
      </c>
    </row>
    <row r="39" spans="1:6" ht="13.5" thickTop="1">
      <c r="A39" s="94" t="s">
        <v>1073</v>
      </c>
      <c r="D39" s="60"/>
      <c r="E39" s="60"/>
      <c r="F39" s="79"/>
    </row>
    <row r="40" spans="1:6" ht="12.75">
      <c r="A40" s="3" t="s">
        <v>296</v>
      </c>
      <c r="B40" s="4" t="str">
        <f>VLOOKUP(A40,Insumos,2)</f>
        <v>malla Sima R92</v>
      </c>
      <c r="C40" s="6" t="str">
        <f>VLOOKUP(A40,Insumos,3)</f>
        <v>kg</v>
      </c>
      <c r="D40" s="60">
        <v>48.25</v>
      </c>
      <c r="E40" s="60">
        <f>VLOOKUP(A40,Insumos,4)</f>
        <v>5.3261</v>
      </c>
      <c r="F40" s="79">
        <f>(D40*E40)</f>
        <v>256.984325</v>
      </c>
    </row>
    <row r="41" spans="1:6" ht="12.75">
      <c r="A41" s="3" t="s">
        <v>292</v>
      </c>
      <c r="B41" s="4" t="str">
        <f>VLOOKUP(A41,Insumos,2)</f>
        <v>cemento Portland</v>
      </c>
      <c r="C41" s="6" t="str">
        <f>VLOOKUP(A41,Insumos,3)</f>
        <v>kg</v>
      </c>
      <c r="D41" s="60">
        <v>300</v>
      </c>
      <c r="E41" s="60">
        <f>VLOOKUP(A41,Insumos,4)</f>
        <v>0.4787</v>
      </c>
      <c r="F41" s="79">
        <f>(D41*E41)</f>
        <v>143.61</v>
      </c>
    </row>
    <row r="42" spans="1:6" ht="12.75">
      <c r="A42" s="3" t="s">
        <v>293</v>
      </c>
      <c r="B42" s="4" t="str">
        <f>VLOOKUP(A42,Insumos,2)</f>
        <v>ripio zarandeado 1/3</v>
      </c>
      <c r="C42" s="6" t="str">
        <f>VLOOKUP(A42,Insumos,3)</f>
        <v>m3</v>
      </c>
      <c r="D42" s="60">
        <v>0.7</v>
      </c>
      <c r="E42" s="60">
        <f>VLOOKUP(A42,Insumos,4)</f>
        <v>45.5</v>
      </c>
      <c r="F42" s="79">
        <f>(D42*E42)</f>
        <v>31.849999999999998</v>
      </c>
    </row>
    <row r="43" spans="1:6" ht="12.75">
      <c r="A43" s="3" t="s">
        <v>294</v>
      </c>
      <c r="B43" s="4" t="str">
        <f>VLOOKUP(A43,Insumos,2)</f>
        <v>arena gruesa</v>
      </c>
      <c r="C43" s="6" t="str">
        <f>VLOOKUP(A43,Insumos,3)</f>
        <v>m3</v>
      </c>
      <c r="D43" s="60">
        <v>0.6</v>
      </c>
      <c r="E43" s="60">
        <f>VLOOKUP(A43,Insumos,4)</f>
        <v>51</v>
      </c>
      <c r="F43" s="79">
        <f>(D43*E43)</f>
        <v>30.599999999999998</v>
      </c>
    </row>
    <row r="44" spans="1:6" ht="12.75">
      <c r="A44" s="94" t="s">
        <v>1074</v>
      </c>
      <c r="D44" s="60"/>
      <c r="E44" s="60"/>
      <c r="F44" s="79"/>
    </row>
    <row r="45" spans="1:6" ht="12.75">
      <c r="A45" s="3" t="s">
        <v>289</v>
      </c>
      <c r="B45" s="4" t="str">
        <f>VLOOKUP(A45,Insumos,2)</f>
        <v>cuadrilla tipo UOCRA</v>
      </c>
      <c r="C45" s="6" t="str">
        <f>VLOOKUP(A45,Insumos,3)</f>
        <v>h</v>
      </c>
      <c r="D45" s="60">
        <v>24.45</v>
      </c>
      <c r="E45" s="60">
        <f>VLOOKUP(A45,Insumos,4)</f>
        <v>21.86</v>
      </c>
      <c r="F45" s="79">
        <f>(D45*E45)</f>
        <v>534.477</v>
      </c>
    </row>
    <row r="46" spans="1:6" ht="12.75">
      <c r="A46" s="94" t="s">
        <v>1075</v>
      </c>
      <c r="D46" s="60"/>
      <c r="E46" s="60"/>
      <c r="F46" s="79"/>
    </row>
    <row r="47" spans="1:6" ht="12.75">
      <c r="A47" s="3" t="s">
        <v>295</v>
      </c>
      <c r="B47" s="4" t="str">
        <f>VLOOKUP(A47,Insumos,2)</f>
        <v>canasta 2 (mixer 5m3)</v>
      </c>
      <c r="C47" s="6" t="str">
        <f>VLOOKUP(A47,Insumos,3)</f>
        <v>h</v>
      </c>
      <c r="D47" s="60">
        <v>0.055</v>
      </c>
      <c r="E47" s="60">
        <f>VLOOKUP(A47,Insumos,4)</f>
        <v>262.81</v>
      </c>
      <c r="F47" s="79">
        <f>(D47*E47)</f>
        <v>14.45455</v>
      </c>
    </row>
    <row r="48" spans="4:6" ht="12.75">
      <c r="D48" s="60"/>
      <c r="E48" s="60"/>
      <c r="F48" s="79"/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G134"/>
  <sheetViews>
    <sheetView showGridLines="0" zoomScale="90" zoomScaleNormal="90" zoomScaleSheetLayoutView="75" workbookViewId="0" topLeftCell="A1">
      <selection activeCell="D76" sqref="D7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1069</v>
      </c>
      <c r="B2" s="8" t="s">
        <v>710</v>
      </c>
      <c r="C2" s="89" t="str">
        <f>Fecha</f>
        <v>JUN/10</v>
      </c>
      <c r="D2" s="57"/>
      <c r="E2" s="57"/>
      <c r="F2" s="77">
        <f>SUM(F4:F13)</f>
        <v>1846.6163849999998</v>
      </c>
      <c r="G2" s="50"/>
    </row>
    <row r="3" spans="1:7" ht="13.5" thickBot="1">
      <c r="A3" s="7" t="s">
        <v>1068</v>
      </c>
      <c r="B3" s="7" t="s">
        <v>349</v>
      </c>
      <c r="C3" s="90" t="s">
        <v>1067</v>
      </c>
      <c r="D3" s="58" t="s">
        <v>711</v>
      </c>
      <c r="E3" s="59"/>
      <c r="F3" s="78"/>
      <c r="G3" s="51" t="s">
        <v>652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291</v>
      </c>
      <c r="B5" s="4" t="str">
        <f>VLOOKUP(A5,Insumos,2)</f>
        <v>hierro mejorado de 10 mm.</v>
      </c>
      <c r="C5" s="6" t="str">
        <f>VLOOKUP(A5,Insumos,3)</f>
        <v>kg</v>
      </c>
      <c r="D5" s="60">
        <v>165</v>
      </c>
      <c r="E5" s="60">
        <f>VLOOKUP(A5,Insumos,4)</f>
        <v>4.1892</v>
      </c>
      <c r="F5" s="79">
        <f>(D5*E5)</f>
        <v>691.218</v>
      </c>
    </row>
    <row r="6" spans="1:6" ht="12.75">
      <c r="A6" s="3" t="s">
        <v>292</v>
      </c>
      <c r="B6" s="4" t="str">
        <f>VLOOKUP(A6,Insumos,2)</f>
        <v>cemento Portland</v>
      </c>
      <c r="C6" s="6" t="str">
        <f>VLOOKUP(A6,Insumos,3)</f>
        <v>kg</v>
      </c>
      <c r="D6" s="60">
        <v>315</v>
      </c>
      <c r="E6" s="60">
        <f>VLOOKUP(A6,Insumos,4)</f>
        <v>0.4787</v>
      </c>
      <c r="F6" s="79">
        <f>(D6*E6)</f>
        <v>150.7905</v>
      </c>
    </row>
    <row r="7" spans="1:6" ht="12.75">
      <c r="A7" s="3" t="s">
        <v>846</v>
      </c>
      <c r="B7" s="4" t="str">
        <f>VLOOKUP(A7,Insumos,2)</f>
        <v>madera 1" pino nacional s/cepillar</v>
      </c>
      <c r="C7" s="6" t="str">
        <f>VLOOKUP(A7,Insumos,3)</f>
        <v>m2</v>
      </c>
      <c r="D7" s="60">
        <v>2.591</v>
      </c>
      <c r="E7" s="60">
        <f>VLOOKUP(A7,Insumos,4)</f>
        <v>33.735</v>
      </c>
      <c r="F7" s="79">
        <f>(D7*E7)</f>
        <v>87.407385</v>
      </c>
    </row>
    <row r="8" spans="1:6" ht="12.75">
      <c r="A8" s="3" t="s">
        <v>293</v>
      </c>
      <c r="B8" s="4" t="str">
        <f>VLOOKUP(A8,Insumos,2)</f>
        <v>ripio zarandeado 1/3</v>
      </c>
      <c r="C8" s="6" t="str">
        <f>VLOOKUP(A8,Insumos,3)</f>
        <v>m3</v>
      </c>
      <c r="D8" s="60">
        <v>0.7</v>
      </c>
      <c r="E8" s="60">
        <f>VLOOKUP(A8,Insumos,4)</f>
        <v>45.5</v>
      </c>
      <c r="F8" s="79">
        <f>(D8*E8)</f>
        <v>31.849999999999998</v>
      </c>
    </row>
    <row r="9" spans="1:6" ht="12.75">
      <c r="A9" s="3" t="s">
        <v>294</v>
      </c>
      <c r="B9" s="4" t="str">
        <f>VLOOKUP(A9,Insumos,2)</f>
        <v>arena gruesa</v>
      </c>
      <c r="C9" s="6" t="str">
        <f>VLOOKUP(A9,Insumos,3)</f>
        <v>m3</v>
      </c>
      <c r="D9" s="60">
        <v>0.6</v>
      </c>
      <c r="E9" s="60">
        <f>VLOOKUP(A9,Insumos,4)</f>
        <v>51</v>
      </c>
      <c r="F9" s="79">
        <f>(D9*E9)</f>
        <v>30.599999999999998</v>
      </c>
    </row>
    <row r="10" spans="1:6" ht="12.75">
      <c r="A10" s="94" t="s">
        <v>1074</v>
      </c>
      <c r="D10" s="60"/>
      <c r="E10" s="60"/>
      <c r="F10" s="79"/>
    </row>
    <row r="11" spans="1:6" ht="12.75">
      <c r="A11" s="3" t="s">
        <v>289</v>
      </c>
      <c r="B11" s="4" t="str">
        <f>VLOOKUP(A11,Insumos,2)</f>
        <v>cuadrilla tipo UOCRA</v>
      </c>
      <c r="C11" s="6" t="str">
        <f>VLOOKUP(A11,Insumos,3)</f>
        <v>h</v>
      </c>
      <c r="D11" s="65">
        <v>38.5</v>
      </c>
      <c r="E11" s="60">
        <f>VLOOKUP(A11,Insumos,4)</f>
        <v>21.86</v>
      </c>
      <c r="F11" s="79">
        <f>(D11*E11)</f>
        <v>841.61</v>
      </c>
    </row>
    <row r="12" spans="1:6" ht="12.75">
      <c r="A12" s="94" t="s">
        <v>1075</v>
      </c>
      <c r="D12" s="60"/>
      <c r="E12" s="60"/>
      <c r="F12" s="79"/>
    </row>
    <row r="13" spans="1:6" ht="12.75">
      <c r="A13" s="3" t="s">
        <v>295</v>
      </c>
      <c r="B13" s="4" t="str">
        <f>VLOOKUP(A13,Insumos,2)</f>
        <v>canasta 2 (mixer 5m3)</v>
      </c>
      <c r="C13" s="6" t="str">
        <f>VLOOKUP(A13,Insumos,3)</f>
        <v>h</v>
      </c>
      <c r="D13" s="60">
        <v>0.05</v>
      </c>
      <c r="E13" s="60">
        <f>VLOOKUP(A13,Insumos,4)</f>
        <v>262.81</v>
      </c>
      <c r="F13" s="79">
        <f>(D13*E13)</f>
        <v>13.140500000000001</v>
      </c>
    </row>
    <row r="14" spans="1:6" ht="12.75">
      <c r="A14" s="3"/>
      <c r="B14" s="4"/>
      <c r="C14" s="6"/>
      <c r="D14" s="60"/>
      <c r="E14" s="60"/>
      <c r="F14" s="79"/>
    </row>
    <row r="15" spans="1:6" ht="13.5" thickBot="1">
      <c r="A15" s="3"/>
      <c r="B15" s="4"/>
      <c r="C15" s="6"/>
      <c r="D15" s="60"/>
      <c r="E15" s="60"/>
      <c r="F15" s="79"/>
    </row>
    <row r="16" spans="1:7" ht="13.5" thickTop="1">
      <c r="A16" s="87" t="s">
        <v>1069</v>
      </c>
      <c r="B16" s="8" t="s">
        <v>523</v>
      </c>
      <c r="C16" s="89" t="str">
        <f>Fecha</f>
        <v>JUN/10</v>
      </c>
      <c r="D16" s="57"/>
      <c r="E16" s="57"/>
      <c r="F16" s="77">
        <f>SUM(F18:F27)</f>
        <v>1752.264185</v>
      </c>
      <c r="G16" s="50"/>
    </row>
    <row r="17" spans="1:7" ht="13.5" thickBot="1">
      <c r="A17" s="7" t="s">
        <v>1068</v>
      </c>
      <c r="B17" s="7" t="s">
        <v>349</v>
      </c>
      <c r="C17" s="90" t="s">
        <v>1067</v>
      </c>
      <c r="D17" s="58" t="s">
        <v>520</v>
      </c>
      <c r="E17" s="59"/>
      <c r="F17" s="78"/>
      <c r="G17" s="51" t="s">
        <v>652</v>
      </c>
    </row>
    <row r="18" spans="1:6" ht="13.5" thickTop="1">
      <c r="A18" s="94" t="s">
        <v>1073</v>
      </c>
      <c r="D18" s="60"/>
      <c r="E18" s="60"/>
      <c r="F18" s="79"/>
    </row>
    <row r="19" spans="1:6" ht="12.75">
      <c r="A19" s="3" t="s">
        <v>291</v>
      </c>
      <c r="B19" s="4" t="str">
        <f>VLOOKUP(A19,Insumos,2)</f>
        <v>hierro mejorado de 10 mm.</v>
      </c>
      <c r="C19" s="6" t="str">
        <f>VLOOKUP(A19,Insumos,3)</f>
        <v>kg</v>
      </c>
      <c r="D19" s="60">
        <v>149</v>
      </c>
      <c r="E19" s="60">
        <f>VLOOKUP(A19,Insumos,4)</f>
        <v>4.1892</v>
      </c>
      <c r="F19" s="79">
        <f>(D19*E19)</f>
        <v>624.1908</v>
      </c>
    </row>
    <row r="20" spans="1:6" ht="12.75">
      <c r="A20" s="3" t="s">
        <v>292</v>
      </c>
      <c r="B20" s="4" t="str">
        <f>VLOOKUP(A20,Insumos,2)</f>
        <v>cemento Portland</v>
      </c>
      <c r="C20" s="6" t="str">
        <f>VLOOKUP(A20,Insumos,3)</f>
        <v>kg</v>
      </c>
      <c r="D20" s="60">
        <v>315</v>
      </c>
      <c r="E20" s="60">
        <f>VLOOKUP(A20,Insumos,4)</f>
        <v>0.4787</v>
      </c>
      <c r="F20" s="79">
        <f>(D20*E20)</f>
        <v>150.7905</v>
      </c>
    </row>
    <row r="21" spans="1:6" ht="12.75">
      <c r="A21" s="3" t="s">
        <v>846</v>
      </c>
      <c r="B21" s="4" t="str">
        <f>VLOOKUP(A21,Insumos,2)</f>
        <v>madera 1" pino nacional s/cepillar</v>
      </c>
      <c r="C21" s="6" t="str">
        <f>VLOOKUP(A21,Insumos,3)</f>
        <v>m2</v>
      </c>
      <c r="D21" s="60">
        <v>2.591</v>
      </c>
      <c r="E21" s="60">
        <f>VLOOKUP(A21,Insumos,4)</f>
        <v>33.735</v>
      </c>
      <c r="F21" s="79">
        <f>(D21*E21)</f>
        <v>87.407385</v>
      </c>
    </row>
    <row r="22" spans="1:6" ht="12.75">
      <c r="A22" s="3" t="s">
        <v>293</v>
      </c>
      <c r="B22" s="4" t="str">
        <f>VLOOKUP(A22,Insumos,2)</f>
        <v>ripio zarandeado 1/3</v>
      </c>
      <c r="C22" s="6" t="str">
        <f>VLOOKUP(A22,Insumos,3)</f>
        <v>m3</v>
      </c>
      <c r="D22" s="60">
        <v>0.7</v>
      </c>
      <c r="E22" s="60">
        <f>VLOOKUP(A22,Insumos,4)</f>
        <v>45.5</v>
      </c>
      <c r="F22" s="79">
        <f>(D22*E22)</f>
        <v>31.849999999999998</v>
      </c>
    </row>
    <row r="23" spans="1:6" ht="12.75">
      <c r="A23" s="3" t="s">
        <v>294</v>
      </c>
      <c r="B23" s="4" t="str">
        <f>VLOOKUP(A23,Insumos,2)</f>
        <v>arena gruesa</v>
      </c>
      <c r="C23" s="6" t="str">
        <f>VLOOKUP(A23,Insumos,3)</f>
        <v>m3</v>
      </c>
      <c r="D23" s="60">
        <v>0.6</v>
      </c>
      <c r="E23" s="60">
        <f>VLOOKUP(A23,Insumos,4)</f>
        <v>51</v>
      </c>
      <c r="F23" s="79">
        <f>(D23*E23)</f>
        <v>30.599999999999998</v>
      </c>
    </row>
    <row r="24" spans="1:6" ht="12.75">
      <c r="A24" s="94" t="s">
        <v>1074</v>
      </c>
      <c r="D24" s="60"/>
      <c r="E24" s="60"/>
      <c r="F24" s="79"/>
    </row>
    <row r="25" spans="1:6" ht="12.75">
      <c r="A25" s="3" t="s">
        <v>289</v>
      </c>
      <c r="B25" s="4" t="str">
        <f>VLOOKUP(A25,Insumos,2)</f>
        <v>cuadrilla tipo UOCRA</v>
      </c>
      <c r="C25" s="6" t="str">
        <f>VLOOKUP(A25,Insumos,3)</f>
        <v>h</v>
      </c>
      <c r="D25" s="73">
        <v>37.25</v>
      </c>
      <c r="E25" s="60">
        <f>VLOOKUP(A25,Insumos,4)</f>
        <v>21.86</v>
      </c>
      <c r="F25" s="79">
        <f>(D25*E25)</f>
        <v>814.285</v>
      </c>
    </row>
    <row r="26" spans="1:6" ht="12.75">
      <c r="A26" s="94" t="s">
        <v>1075</v>
      </c>
      <c r="D26" s="60"/>
      <c r="E26" s="60"/>
      <c r="F26" s="79"/>
    </row>
    <row r="27" spans="1:6" ht="12.75">
      <c r="A27" s="3" t="s">
        <v>295</v>
      </c>
      <c r="B27" s="4" t="str">
        <f>VLOOKUP(A27,Insumos,2)</f>
        <v>canasta 2 (mixer 5m3)</v>
      </c>
      <c r="C27" s="6" t="str">
        <f>VLOOKUP(A27,Insumos,3)</f>
        <v>h</v>
      </c>
      <c r="D27" s="60">
        <v>0.05</v>
      </c>
      <c r="E27" s="60">
        <f>VLOOKUP(A27,Insumos,4)</f>
        <v>262.81</v>
      </c>
      <c r="F27" s="79">
        <f>(D27*E27)</f>
        <v>13.140500000000001</v>
      </c>
    </row>
    <row r="28" spans="1:6" ht="13.5" thickBot="1">
      <c r="A28" s="3"/>
      <c r="B28" s="4"/>
      <c r="C28" s="6"/>
      <c r="D28" s="60"/>
      <c r="E28" s="60"/>
      <c r="F28" s="79"/>
    </row>
    <row r="29" spans="1:7" ht="13.5" thickTop="1">
      <c r="A29" s="87" t="s">
        <v>1069</v>
      </c>
      <c r="B29" s="8" t="s">
        <v>524</v>
      </c>
      <c r="C29" s="89" t="str">
        <f>Fecha</f>
        <v>JUN/10</v>
      </c>
      <c r="D29" s="57"/>
      <c r="E29" s="57"/>
      <c r="F29" s="77">
        <f>SUM(F31:F40)</f>
        <v>1664.41127</v>
      </c>
      <c r="G29" s="50"/>
    </row>
    <row r="30" spans="1:7" ht="13.5" thickBot="1">
      <c r="A30" s="7" t="s">
        <v>1068</v>
      </c>
      <c r="B30" s="7" t="s">
        <v>349</v>
      </c>
      <c r="C30" s="90" t="s">
        <v>1067</v>
      </c>
      <c r="D30" s="58" t="s">
        <v>519</v>
      </c>
      <c r="E30" s="59"/>
      <c r="F30" s="78"/>
      <c r="G30" s="51" t="s">
        <v>652</v>
      </c>
    </row>
    <row r="31" spans="1:6" ht="13.5" thickTop="1">
      <c r="A31" s="94" t="s">
        <v>1073</v>
      </c>
      <c r="D31" s="60"/>
      <c r="E31" s="60"/>
      <c r="F31" s="79"/>
    </row>
    <row r="32" spans="1:6" ht="12.75">
      <c r="A32" s="3" t="s">
        <v>291</v>
      </c>
      <c r="B32" s="4" t="str">
        <f>VLOOKUP(A32,Insumos,2)</f>
        <v>hierro mejorado de 10 mm.</v>
      </c>
      <c r="C32" s="6" t="str">
        <f>VLOOKUP(A32,Insumos,3)</f>
        <v>kg</v>
      </c>
      <c r="D32" s="60">
        <v>132</v>
      </c>
      <c r="E32" s="60">
        <f>VLOOKUP(A32,Insumos,4)</f>
        <v>4.1892</v>
      </c>
      <c r="F32" s="79">
        <f>(D32*E32)</f>
        <v>552.9744</v>
      </c>
    </row>
    <row r="33" spans="1:6" ht="12.75">
      <c r="A33" s="3" t="s">
        <v>292</v>
      </c>
      <c r="B33" s="4" t="str">
        <f>VLOOKUP(A33,Insumos,2)</f>
        <v>cemento Portland</v>
      </c>
      <c r="C33" s="6" t="str">
        <f>VLOOKUP(A33,Insumos,3)</f>
        <v>kg</v>
      </c>
      <c r="D33" s="60">
        <v>310</v>
      </c>
      <c r="E33" s="60">
        <f>VLOOKUP(A33,Insumos,4)</f>
        <v>0.4787</v>
      </c>
      <c r="F33" s="79">
        <f>(D33*E33)</f>
        <v>148.397</v>
      </c>
    </row>
    <row r="34" spans="1:6" ht="12.75">
      <c r="A34" s="3" t="s">
        <v>846</v>
      </c>
      <c r="B34" s="4" t="str">
        <f>VLOOKUP(A34,Insumos,2)</f>
        <v>madera 1" pino nacional s/cepillar</v>
      </c>
      <c r="C34" s="6" t="str">
        <f>VLOOKUP(A34,Insumos,3)</f>
        <v>m2</v>
      </c>
      <c r="D34" s="60">
        <v>1.942</v>
      </c>
      <c r="E34" s="60">
        <f>VLOOKUP(A34,Insumos,4)</f>
        <v>33.735</v>
      </c>
      <c r="F34" s="79">
        <f>(D34*E34)</f>
        <v>65.51337</v>
      </c>
    </row>
    <row r="35" spans="1:6" ht="12.75">
      <c r="A35" s="3" t="s">
        <v>293</v>
      </c>
      <c r="B35" s="4" t="str">
        <f>VLOOKUP(A35,Insumos,2)</f>
        <v>ripio zarandeado 1/3</v>
      </c>
      <c r="C35" s="6" t="str">
        <f>VLOOKUP(A35,Insumos,3)</f>
        <v>m3</v>
      </c>
      <c r="D35" s="60">
        <v>0.7</v>
      </c>
      <c r="E35" s="60">
        <f>VLOOKUP(A35,Insumos,4)</f>
        <v>45.5</v>
      </c>
      <c r="F35" s="79">
        <f>(D35*E35)</f>
        <v>31.849999999999998</v>
      </c>
    </row>
    <row r="36" spans="1:6" ht="12.75">
      <c r="A36" s="3" t="s">
        <v>294</v>
      </c>
      <c r="B36" s="4" t="str">
        <f>VLOOKUP(A36,Insumos,2)</f>
        <v>arena gruesa</v>
      </c>
      <c r="C36" s="6" t="str">
        <f>VLOOKUP(A36,Insumos,3)</f>
        <v>m3</v>
      </c>
      <c r="D36" s="60">
        <v>0.6</v>
      </c>
      <c r="E36" s="60">
        <f>VLOOKUP(A36,Insumos,4)</f>
        <v>51</v>
      </c>
      <c r="F36" s="79">
        <f>(D36*E36)</f>
        <v>30.599999999999998</v>
      </c>
    </row>
    <row r="37" spans="1:6" ht="12.75">
      <c r="A37" s="94" t="s">
        <v>1074</v>
      </c>
      <c r="D37" s="60"/>
      <c r="E37" s="60"/>
      <c r="F37" s="79"/>
    </row>
    <row r="38" spans="1:6" ht="12.75">
      <c r="A38" s="3" t="s">
        <v>289</v>
      </c>
      <c r="B38" s="4" t="str">
        <f>VLOOKUP(A38,Insumos,2)</f>
        <v>cuadrilla tipo UOCRA</v>
      </c>
      <c r="C38" s="6" t="str">
        <f>VLOOKUP(A38,Insumos,3)</f>
        <v>h</v>
      </c>
      <c r="D38" s="60">
        <v>37.6</v>
      </c>
      <c r="E38" s="60">
        <f>VLOOKUP(A38,Insumos,4)</f>
        <v>21.86</v>
      </c>
      <c r="F38" s="79">
        <f>(D38*E38)</f>
        <v>821.936</v>
      </c>
    </row>
    <row r="39" spans="1:6" ht="12.75">
      <c r="A39" s="94" t="s">
        <v>1075</v>
      </c>
      <c r="D39" s="60"/>
      <c r="E39" s="60"/>
      <c r="F39" s="79"/>
    </row>
    <row r="40" spans="1:6" ht="12.75">
      <c r="A40" s="3" t="s">
        <v>295</v>
      </c>
      <c r="B40" s="4" t="str">
        <f>VLOOKUP(A40,Insumos,2)</f>
        <v>canasta 2 (mixer 5m3)</v>
      </c>
      <c r="C40" s="6" t="str">
        <f>VLOOKUP(A40,Insumos,3)</f>
        <v>h</v>
      </c>
      <c r="D40" s="60">
        <v>0.05</v>
      </c>
      <c r="E40" s="60">
        <f>VLOOKUP(A40,Insumos,4)</f>
        <v>262.81</v>
      </c>
      <c r="F40" s="79">
        <f>(D40*E40)</f>
        <v>13.140500000000001</v>
      </c>
    </row>
    <row r="41" spans="1:6" ht="13.5" thickBot="1">
      <c r="A41" s="3"/>
      <c r="B41" s="4"/>
      <c r="C41" s="6"/>
      <c r="D41" s="60"/>
      <c r="E41" s="60"/>
      <c r="F41" s="79"/>
    </row>
    <row r="42" spans="1:7" ht="13.5" thickTop="1">
      <c r="A42" s="87" t="s">
        <v>1069</v>
      </c>
      <c r="B42" s="8" t="s">
        <v>526</v>
      </c>
      <c r="C42" s="89" t="str">
        <f>Fecha</f>
        <v>JUN/10</v>
      </c>
      <c r="D42" s="57"/>
      <c r="E42" s="57"/>
      <c r="F42" s="77">
        <f>SUM(F44:F53)</f>
        <v>1800.2932999999998</v>
      </c>
      <c r="G42" s="50"/>
    </row>
    <row r="43" spans="1:7" ht="13.5" thickBot="1">
      <c r="A43" s="7" t="s">
        <v>1068</v>
      </c>
      <c r="B43" s="7" t="s">
        <v>349</v>
      </c>
      <c r="C43" s="90" t="s">
        <v>1067</v>
      </c>
      <c r="D43" s="58" t="s">
        <v>525</v>
      </c>
      <c r="E43" s="59"/>
      <c r="F43" s="78"/>
      <c r="G43" s="51" t="s">
        <v>652</v>
      </c>
    </row>
    <row r="44" spans="1:6" ht="13.5" thickTop="1">
      <c r="A44" s="94" t="s">
        <v>1073</v>
      </c>
      <c r="D44" s="60"/>
      <c r="E44" s="60"/>
      <c r="F44" s="79"/>
    </row>
    <row r="45" spans="1:6" ht="12.75">
      <c r="A45" s="3" t="s">
        <v>291</v>
      </c>
      <c r="B45" s="4" t="str">
        <f>VLOOKUP(A45,Insumos,2)</f>
        <v>hierro mejorado de 10 mm.</v>
      </c>
      <c r="C45" s="6" t="str">
        <f>VLOOKUP(A45,Insumos,3)</f>
        <v>kg</v>
      </c>
      <c r="D45" s="60">
        <v>134</v>
      </c>
      <c r="E45" s="60">
        <f>VLOOKUP(A45,Insumos,4)</f>
        <v>4.1892</v>
      </c>
      <c r="F45" s="79">
        <f>(D45*E45)</f>
        <v>561.3527999999999</v>
      </c>
    </row>
    <row r="46" spans="1:6" ht="12.75">
      <c r="A46" s="3" t="s">
        <v>292</v>
      </c>
      <c r="B46" s="4" t="str">
        <f>VLOOKUP(A46,Insumos,2)</f>
        <v>cemento Portland</v>
      </c>
      <c r="C46" s="6" t="str">
        <f>VLOOKUP(A46,Insumos,3)</f>
        <v>kg</v>
      </c>
      <c r="D46" s="60">
        <v>310</v>
      </c>
      <c r="E46" s="60">
        <f>VLOOKUP(A46,Insumos,4)</f>
        <v>0.4787</v>
      </c>
      <c r="F46" s="79">
        <f>(D46*E46)</f>
        <v>148.397</v>
      </c>
    </row>
    <row r="47" spans="1:6" ht="12.75">
      <c r="A47" s="3" t="s">
        <v>846</v>
      </c>
      <c r="B47" s="4" t="str">
        <f>VLOOKUP(A47,Insumos,2)</f>
        <v>madera 1" pino nacional s/cepillar</v>
      </c>
      <c r="C47" s="6" t="str">
        <f>VLOOKUP(A47,Insumos,3)</f>
        <v>m2</v>
      </c>
      <c r="D47" s="60">
        <v>3</v>
      </c>
      <c r="E47" s="60">
        <f>VLOOKUP(A47,Insumos,4)</f>
        <v>33.735</v>
      </c>
      <c r="F47" s="79">
        <f>(D47*E47)</f>
        <v>101.205</v>
      </c>
    </row>
    <row r="48" spans="1:6" ht="12.75">
      <c r="A48" s="3" t="s">
        <v>293</v>
      </c>
      <c r="B48" s="4" t="str">
        <f>VLOOKUP(A48,Insumos,2)</f>
        <v>ripio zarandeado 1/3</v>
      </c>
      <c r="C48" s="6" t="str">
        <f>VLOOKUP(A48,Insumos,3)</f>
        <v>m3</v>
      </c>
      <c r="D48" s="60">
        <v>0.7</v>
      </c>
      <c r="E48" s="60">
        <f>VLOOKUP(A48,Insumos,4)</f>
        <v>45.5</v>
      </c>
      <c r="F48" s="79">
        <f>(D48*E48)</f>
        <v>31.849999999999998</v>
      </c>
    </row>
    <row r="49" spans="1:6" ht="12.75">
      <c r="A49" s="3" t="s">
        <v>294</v>
      </c>
      <c r="B49" s="4" t="str">
        <f>VLOOKUP(A49,Insumos,2)</f>
        <v>arena gruesa</v>
      </c>
      <c r="C49" s="6" t="str">
        <f>VLOOKUP(A49,Insumos,3)</f>
        <v>m3</v>
      </c>
      <c r="D49" s="60">
        <v>0.6</v>
      </c>
      <c r="E49" s="60">
        <f>VLOOKUP(A49,Insumos,4)</f>
        <v>51</v>
      </c>
      <c r="F49" s="79">
        <f>(D49*E49)</f>
        <v>30.599999999999998</v>
      </c>
    </row>
    <row r="50" spans="1:6" ht="12.75">
      <c r="A50" s="94" t="s">
        <v>1074</v>
      </c>
      <c r="D50" s="60"/>
      <c r="E50" s="60"/>
      <c r="F50" s="79"/>
    </row>
    <row r="51" spans="1:6" ht="12.75">
      <c r="A51" s="3" t="s">
        <v>289</v>
      </c>
      <c r="B51" s="4" t="str">
        <f>VLOOKUP(A51,Insumos,2)</f>
        <v>cuadrilla tipo UOCRA</v>
      </c>
      <c r="C51" s="6" t="str">
        <f>VLOOKUP(A51,Insumos,3)</f>
        <v>h</v>
      </c>
      <c r="D51" s="73">
        <v>41.8</v>
      </c>
      <c r="E51" s="60">
        <f>VLOOKUP(A51,Insumos,4)</f>
        <v>21.86</v>
      </c>
      <c r="F51" s="79">
        <f>(D51*E51)</f>
        <v>913.7479999999999</v>
      </c>
    </row>
    <row r="52" spans="1:6" ht="12.75">
      <c r="A52" s="94" t="s">
        <v>1075</v>
      </c>
      <c r="D52" s="60"/>
      <c r="E52" s="60"/>
      <c r="F52" s="79"/>
    </row>
    <row r="53" spans="1:6" ht="12.75">
      <c r="A53" s="3" t="s">
        <v>295</v>
      </c>
      <c r="B53" s="4" t="str">
        <f>VLOOKUP(A53,Insumos,2)</f>
        <v>canasta 2 (mixer 5m3)</v>
      </c>
      <c r="C53" s="6" t="str">
        <f>VLOOKUP(A53,Insumos,3)</f>
        <v>h</v>
      </c>
      <c r="D53" s="60">
        <v>0.05</v>
      </c>
      <c r="E53" s="60">
        <f>VLOOKUP(A53,Insumos,4)</f>
        <v>262.81</v>
      </c>
      <c r="F53" s="79">
        <f>(D53*E53)</f>
        <v>13.140500000000001</v>
      </c>
    </row>
    <row r="54" spans="1:6" ht="13.5" thickBot="1">
      <c r="A54" s="3"/>
      <c r="B54" s="4"/>
      <c r="C54" s="6"/>
      <c r="D54" s="60"/>
      <c r="E54" s="60"/>
      <c r="F54" s="79"/>
    </row>
    <row r="55" spans="1:7" ht="13.5" thickTop="1">
      <c r="A55" s="87" t="s">
        <v>1069</v>
      </c>
      <c r="B55" s="8" t="s">
        <v>527</v>
      </c>
      <c r="C55" s="89" t="str">
        <f>Fecha</f>
        <v>JUN/10</v>
      </c>
      <c r="D55" s="57"/>
      <c r="E55" s="57"/>
      <c r="F55" s="77">
        <f>SUM(F57:F66)</f>
        <v>1329.6988336</v>
      </c>
      <c r="G55" s="50"/>
    </row>
    <row r="56" spans="1:7" ht="13.5" thickBot="1">
      <c r="A56" s="7" t="s">
        <v>1068</v>
      </c>
      <c r="B56" s="7" t="s">
        <v>349</v>
      </c>
      <c r="C56" s="90" t="s">
        <v>1067</v>
      </c>
      <c r="D56" s="58" t="s">
        <v>528</v>
      </c>
      <c r="E56" s="59"/>
      <c r="F56" s="78"/>
      <c r="G56" s="51" t="s">
        <v>652</v>
      </c>
    </row>
    <row r="57" spans="1:6" ht="13.5" thickTop="1">
      <c r="A57" s="94" t="s">
        <v>1073</v>
      </c>
      <c r="D57" s="60"/>
      <c r="E57" s="60"/>
      <c r="F57" s="79"/>
    </row>
    <row r="58" spans="1:6" ht="12.75">
      <c r="A58" s="3" t="s">
        <v>291</v>
      </c>
      <c r="B58" s="4" t="str">
        <f>VLOOKUP(A58,Insumos,2)</f>
        <v>hierro mejorado de 10 mm.</v>
      </c>
      <c r="C58" s="6" t="str">
        <f>VLOOKUP(A58,Insumos,3)</f>
        <v>kg</v>
      </c>
      <c r="D58" s="60">
        <v>78.733</v>
      </c>
      <c r="E58" s="60">
        <f>VLOOKUP(A58,Insumos,4)</f>
        <v>4.1892</v>
      </c>
      <c r="F58" s="79">
        <f>(D58*E58)</f>
        <v>329.82828359999996</v>
      </c>
    </row>
    <row r="59" spans="1:6" ht="12.75">
      <c r="A59" s="3" t="s">
        <v>292</v>
      </c>
      <c r="B59" s="4" t="str">
        <f>VLOOKUP(A59,Insumos,2)</f>
        <v>cemento Portland</v>
      </c>
      <c r="C59" s="6" t="str">
        <f>VLOOKUP(A59,Insumos,3)</f>
        <v>kg</v>
      </c>
      <c r="D59" s="60">
        <v>310</v>
      </c>
      <c r="E59" s="60">
        <f>VLOOKUP(A59,Insumos,4)</f>
        <v>0.4787</v>
      </c>
      <c r="F59" s="79">
        <f>(D59*E59)</f>
        <v>148.397</v>
      </c>
    </row>
    <row r="60" spans="1:6" ht="12.75">
      <c r="A60" s="3" t="s">
        <v>846</v>
      </c>
      <c r="B60" s="4" t="str">
        <f>VLOOKUP(A60,Insumos,2)</f>
        <v>madera 1" pino nacional s/cepillar</v>
      </c>
      <c r="C60" s="6" t="str">
        <f>VLOOKUP(A60,Insumos,3)</f>
        <v>m2</v>
      </c>
      <c r="D60" s="60">
        <v>3.43</v>
      </c>
      <c r="E60" s="60">
        <f>VLOOKUP(A60,Insumos,4)</f>
        <v>33.735</v>
      </c>
      <c r="F60" s="79">
        <f>(D60*E60)</f>
        <v>115.71105</v>
      </c>
    </row>
    <row r="61" spans="1:6" ht="12.75">
      <c r="A61" s="3" t="s">
        <v>293</v>
      </c>
      <c r="B61" s="4" t="str">
        <f>VLOOKUP(A61,Insumos,2)</f>
        <v>ripio zarandeado 1/3</v>
      </c>
      <c r="C61" s="6" t="str">
        <f>VLOOKUP(A61,Insumos,3)</f>
        <v>m3</v>
      </c>
      <c r="D61" s="60">
        <v>0.7</v>
      </c>
      <c r="E61" s="60">
        <f>VLOOKUP(A61,Insumos,4)</f>
        <v>45.5</v>
      </c>
      <c r="F61" s="79">
        <f>(D61*E61)</f>
        <v>31.849999999999998</v>
      </c>
    </row>
    <row r="62" spans="1:6" ht="12.75">
      <c r="A62" s="3" t="s">
        <v>294</v>
      </c>
      <c r="B62" s="4" t="str">
        <f>VLOOKUP(A62,Insumos,2)</f>
        <v>arena gruesa</v>
      </c>
      <c r="C62" s="6" t="str">
        <f>VLOOKUP(A62,Insumos,3)</f>
        <v>m3</v>
      </c>
      <c r="D62" s="60">
        <v>0.6</v>
      </c>
      <c r="E62" s="60">
        <f>VLOOKUP(A62,Insumos,4)</f>
        <v>51</v>
      </c>
      <c r="F62" s="79">
        <f>(D62*E62)</f>
        <v>30.599999999999998</v>
      </c>
    </row>
    <row r="63" spans="1:6" ht="12.75">
      <c r="A63" s="94" t="s">
        <v>1074</v>
      </c>
      <c r="D63" s="60"/>
      <c r="E63" s="60"/>
      <c r="F63" s="79"/>
    </row>
    <row r="64" spans="1:6" ht="12.75">
      <c r="A64" s="3" t="s">
        <v>289</v>
      </c>
      <c r="B64" s="4" t="str">
        <f>VLOOKUP(A64,Insumos,2)</f>
        <v>cuadrilla tipo UOCRA</v>
      </c>
      <c r="C64" s="6" t="str">
        <f>VLOOKUP(A64,Insumos,3)</f>
        <v>h</v>
      </c>
      <c r="D64" s="73">
        <v>30.2</v>
      </c>
      <c r="E64" s="60">
        <f>VLOOKUP(A64,Insumos,4)</f>
        <v>21.86</v>
      </c>
      <c r="F64" s="79">
        <f>(D64*E64)</f>
        <v>660.1719999999999</v>
      </c>
    </row>
    <row r="65" spans="1:6" ht="12.75">
      <c r="A65" s="94" t="s">
        <v>1075</v>
      </c>
      <c r="D65" s="60"/>
      <c r="E65" s="60"/>
      <c r="F65" s="79"/>
    </row>
    <row r="66" spans="1:6" ht="12.75">
      <c r="A66" s="3" t="s">
        <v>295</v>
      </c>
      <c r="B66" s="4" t="str">
        <f>VLOOKUP(A66,Insumos,2)</f>
        <v>canasta 2 (mixer 5m3)</v>
      </c>
      <c r="C66" s="6" t="str">
        <f>VLOOKUP(A66,Insumos,3)</f>
        <v>h</v>
      </c>
      <c r="D66" s="60">
        <v>0.05</v>
      </c>
      <c r="E66" s="60">
        <f>VLOOKUP(A66,Insumos,4)</f>
        <v>262.81</v>
      </c>
      <c r="F66" s="79">
        <f>(D66*E66)</f>
        <v>13.140500000000001</v>
      </c>
    </row>
    <row r="67" spans="1:6" ht="13.5" thickBot="1">
      <c r="A67" s="3"/>
      <c r="B67" s="4"/>
      <c r="C67" s="6"/>
      <c r="D67" s="60"/>
      <c r="E67" s="60"/>
      <c r="F67" s="79"/>
    </row>
    <row r="68" spans="1:7" ht="13.5" thickTop="1">
      <c r="A68" s="87" t="s">
        <v>1069</v>
      </c>
      <c r="B68" s="8" t="s">
        <v>529</v>
      </c>
      <c r="C68" s="89" t="str">
        <f>Fecha</f>
        <v>JUN/10</v>
      </c>
      <c r="D68" s="57"/>
      <c r="E68" s="57"/>
      <c r="F68" s="77">
        <f>SUM(F70:F81)</f>
        <v>201.49009800000002</v>
      </c>
      <c r="G68" s="50"/>
    </row>
    <row r="69" spans="1:7" ht="13.5" thickBot="1">
      <c r="A69" s="7" t="s">
        <v>1068</v>
      </c>
      <c r="B69" s="7" t="s">
        <v>349</v>
      </c>
      <c r="C69" s="90" t="s">
        <v>1067</v>
      </c>
      <c r="D69" s="58" t="s">
        <v>530</v>
      </c>
      <c r="E69" s="59"/>
      <c r="F69" s="78"/>
      <c r="G69" s="51" t="s">
        <v>602</v>
      </c>
    </row>
    <row r="70" spans="1:6" ht="13.5" thickTop="1">
      <c r="A70" s="94" t="s">
        <v>1073</v>
      </c>
      <c r="D70" s="60"/>
      <c r="E70" s="60"/>
      <c r="F70" s="79"/>
    </row>
    <row r="71" spans="1:6" ht="12.75">
      <c r="A71" s="2" t="s">
        <v>296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60">
        <v>1.28</v>
      </c>
      <c r="E71" s="60">
        <f aca="true" t="shared" si="2" ref="E71:E77">VLOOKUP(A71,Insumos,4)</f>
        <v>5.3261</v>
      </c>
      <c r="F71" s="79">
        <f aca="true" t="shared" si="3" ref="F71:F77">(D71*E71)</f>
        <v>6.817408</v>
      </c>
    </row>
    <row r="72" spans="1:6" ht="12.75">
      <c r="A72" s="2" t="s">
        <v>313</v>
      </c>
      <c r="B72" s="4" t="str">
        <f t="shared" si="0"/>
        <v>bovedilla cerámica para viguetas 12,5x40x25</v>
      </c>
      <c r="C72" s="6" t="str">
        <f t="shared" si="1"/>
        <v>u</v>
      </c>
      <c r="D72" s="60">
        <v>8</v>
      </c>
      <c r="E72" s="60">
        <f t="shared" si="2"/>
        <v>2.6883</v>
      </c>
      <c r="F72" s="79">
        <f t="shared" si="3"/>
        <v>21.5064</v>
      </c>
    </row>
    <row r="73" spans="1:6" ht="12.75">
      <c r="A73" s="2" t="s">
        <v>314</v>
      </c>
      <c r="B73" s="4" t="str">
        <f t="shared" si="0"/>
        <v>viguetas pretensadas 3.90 m.</v>
      </c>
      <c r="C73" s="6" t="str">
        <f t="shared" si="1"/>
        <v>m</v>
      </c>
      <c r="D73" s="60">
        <v>2.1</v>
      </c>
      <c r="E73" s="60">
        <f t="shared" si="2"/>
        <v>15.1162</v>
      </c>
      <c r="F73" s="79">
        <f t="shared" si="3"/>
        <v>31.74402</v>
      </c>
    </row>
    <row r="74" spans="1:6" ht="12.75">
      <c r="A74" s="3" t="s">
        <v>292</v>
      </c>
      <c r="B74" s="4" t="str">
        <f t="shared" si="0"/>
        <v>cemento Portland</v>
      </c>
      <c r="C74" s="6" t="str">
        <f t="shared" si="1"/>
        <v>kg</v>
      </c>
      <c r="D74" s="60">
        <v>20</v>
      </c>
      <c r="E74" s="60">
        <f t="shared" si="2"/>
        <v>0.4787</v>
      </c>
      <c r="F74" s="79">
        <f t="shared" si="3"/>
        <v>9.574</v>
      </c>
    </row>
    <row r="75" spans="1:6" ht="12.75">
      <c r="A75" s="3" t="s">
        <v>846</v>
      </c>
      <c r="B75" s="4" t="str">
        <f t="shared" si="0"/>
        <v>madera 1" pino nacional s/cepillar</v>
      </c>
      <c r="C75" s="6" t="str">
        <f t="shared" si="1"/>
        <v>m2</v>
      </c>
      <c r="D75" s="60">
        <v>0.872</v>
      </c>
      <c r="E75" s="60">
        <f t="shared" si="2"/>
        <v>33.735</v>
      </c>
      <c r="F75" s="79">
        <f t="shared" si="3"/>
        <v>29.41692</v>
      </c>
    </row>
    <row r="76" spans="1:6" ht="12.75">
      <c r="A76" s="3" t="s">
        <v>293</v>
      </c>
      <c r="B76" s="4" t="str">
        <f t="shared" si="0"/>
        <v>ripio zarandeado 1/3</v>
      </c>
      <c r="C76" s="6" t="str">
        <f t="shared" si="1"/>
        <v>m3</v>
      </c>
      <c r="D76" s="60">
        <v>0.033</v>
      </c>
      <c r="E76" s="60">
        <f t="shared" si="2"/>
        <v>45.5</v>
      </c>
      <c r="F76" s="79">
        <f t="shared" si="3"/>
        <v>1.5015</v>
      </c>
    </row>
    <row r="77" spans="1:6" ht="12.75">
      <c r="A77" s="3" t="s">
        <v>294</v>
      </c>
      <c r="B77" s="4" t="str">
        <f t="shared" si="0"/>
        <v>arena gruesa</v>
      </c>
      <c r="C77" s="6" t="str">
        <f t="shared" si="1"/>
        <v>m3</v>
      </c>
      <c r="D77" s="60">
        <v>0.033</v>
      </c>
      <c r="E77" s="60">
        <f t="shared" si="2"/>
        <v>51</v>
      </c>
      <c r="F77" s="79">
        <f t="shared" si="3"/>
        <v>1.683</v>
      </c>
    </row>
    <row r="78" spans="1:6" ht="12.75">
      <c r="A78" s="94" t="s">
        <v>1074</v>
      </c>
      <c r="D78" s="60"/>
      <c r="E78" s="60"/>
      <c r="F78" s="79"/>
    </row>
    <row r="79" spans="1:6" ht="12.75">
      <c r="A79" s="3" t="s">
        <v>289</v>
      </c>
      <c r="B79" s="4" t="str">
        <f>VLOOKUP(A79,Insumos,2)</f>
        <v>cuadrilla tipo UOCRA</v>
      </c>
      <c r="C79" s="6" t="str">
        <f>VLOOKUP(A79,Insumos,3)</f>
        <v>h</v>
      </c>
      <c r="D79" s="73">
        <v>4.48</v>
      </c>
      <c r="E79" s="60">
        <f>VLOOKUP(A79,Insumos,4)</f>
        <v>21.86</v>
      </c>
      <c r="F79" s="79">
        <f>(D79*E79)</f>
        <v>97.9328</v>
      </c>
    </row>
    <row r="80" spans="1:6" ht="12.75">
      <c r="A80" s="94" t="s">
        <v>1075</v>
      </c>
      <c r="D80" s="60"/>
      <c r="E80" s="60"/>
      <c r="F80" s="79"/>
    </row>
    <row r="81" spans="1:6" ht="12.75">
      <c r="A81" s="3" t="s">
        <v>295</v>
      </c>
      <c r="B81" s="4" t="str">
        <f>VLOOKUP(A81,Insumos,2)</f>
        <v>canasta 2 (mixer 5m3)</v>
      </c>
      <c r="C81" s="6" t="str">
        <f>VLOOKUP(A81,Insumos,3)</f>
        <v>h</v>
      </c>
      <c r="D81" s="60">
        <v>0.005</v>
      </c>
      <c r="E81" s="60">
        <f>VLOOKUP(A81,Insumos,4)</f>
        <v>262.81</v>
      </c>
      <c r="F81" s="79">
        <f>(D81*E81)</f>
        <v>1.31405</v>
      </c>
    </row>
    <row r="82" spans="4:6" ht="13.5" thickBot="1">
      <c r="D82" s="60"/>
      <c r="E82" s="60"/>
      <c r="F82" s="79"/>
    </row>
    <row r="83" spans="1:7" ht="13.5" thickTop="1">
      <c r="A83" s="87" t="s">
        <v>1069</v>
      </c>
      <c r="B83" s="8" t="s">
        <v>880</v>
      </c>
      <c r="C83" s="89" t="str">
        <f>Fecha</f>
        <v>JUN/10</v>
      </c>
      <c r="D83" s="57"/>
      <c r="E83" s="57"/>
      <c r="F83" s="77">
        <f>SUM(F85:F95)</f>
        <v>1242.099377</v>
      </c>
      <c r="G83" s="50"/>
    </row>
    <row r="84" spans="1:7" ht="13.5" thickBot="1">
      <c r="A84" s="7" t="s">
        <v>1068</v>
      </c>
      <c r="B84" s="7" t="s">
        <v>349</v>
      </c>
      <c r="C84" s="90" t="s">
        <v>1067</v>
      </c>
      <c r="D84" s="58" t="s">
        <v>556</v>
      </c>
      <c r="E84" s="59"/>
      <c r="F84" s="78"/>
      <c r="G84" s="51" t="s">
        <v>652</v>
      </c>
    </row>
    <row r="85" spans="1:6" ht="13.5" thickTop="1">
      <c r="A85" s="94" t="s">
        <v>1073</v>
      </c>
      <c r="D85" s="60"/>
      <c r="E85" s="60"/>
      <c r="F85" s="79"/>
    </row>
    <row r="86" spans="1:6" ht="12.75">
      <c r="A86" s="3" t="s">
        <v>291</v>
      </c>
      <c r="B86" s="4" t="str">
        <f aca="true" t="shared" si="4" ref="B86:B91">VLOOKUP(A86,Insumos,2)</f>
        <v>hierro mejorado de 10 mm.</v>
      </c>
      <c r="C86" s="6" t="str">
        <f aca="true" t="shared" si="5" ref="C86:C91">VLOOKUP(A86,Insumos,3)</f>
        <v>kg</v>
      </c>
      <c r="D86" s="60">
        <v>14.94</v>
      </c>
      <c r="E86" s="60">
        <f aca="true" t="shared" si="6" ref="E86:E91">VLOOKUP(A86,Insumos,4)</f>
        <v>4.1892</v>
      </c>
      <c r="F86" s="79">
        <f aca="true" t="shared" si="7" ref="F86:F91">(D86*E86)</f>
        <v>62.58664799999999</v>
      </c>
    </row>
    <row r="87" spans="1:6" ht="12.75">
      <c r="A87" s="3" t="s">
        <v>296</v>
      </c>
      <c r="B87" s="4" t="str">
        <f t="shared" si="4"/>
        <v>malla Sima R92</v>
      </c>
      <c r="C87" s="6" t="str">
        <f t="shared" si="5"/>
        <v>kg</v>
      </c>
      <c r="D87" s="60">
        <v>52.5</v>
      </c>
      <c r="E87" s="60">
        <f t="shared" si="6"/>
        <v>5.3261</v>
      </c>
      <c r="F87" s="79">
        <f t="shared" si="7"/>
        <v>279.62025</v>
      </c>
    </row>
    <row r="88" spans="1:6" ht="12.75">
      <c r="A88" s="3" t="s">
        <v>292</v>
      </c>
      <c r="B88" s="4" t="str">
        <f t="shared" si="4"/>
        <v>cemento Portland</v>
      </c>
      <c r="C88" s="6" t="str">
        <f t="shared" si="5"/>
        <v>kg</v>
      </c>
      <c r="D88" s="60">
        <v>315</v>
      </c>
      <c r="E88" s="60">
        <f t="shared" si="6"/>
        <v>0.4787</v>
      </c>
      <c r="F88" s="79">
        <f t="shared" si="7"/>
        <v>150.7905</v>
      </c>
    </row>
    <row r="89" spans="1:6" ht="12.75">
      <c r="A89" s="3" t="s">
        <v>293</v>
      </c>
      <c r="B89" s="4" t="str">
        <f t="shared" si="4"/>
        <v>ripio zarandeado 1/3</v>
      </c>
      <c r="C89" s="6" t="str">
        <f t="shared" si="5"/>
        <v>m3</v>
      </c>
      <c r="D89" s="60">
        <v>0.7</v>
      </c>
      <c r="E89" s="60">
        <f t="shared" si="6"/>
        <v>45.5</v>
      </c>
      <c r="F89" s="79">
        <f t="shared" si="7"/>
        <v>31.849999999999998</v>
      </c>
    </row>
    <row r="90" spans="1:6" ht="12.75">
      <c r="A90" s="3" t="s">
        <v>297</v>
      </c>
      <c r="B90" s="4" t="str">
        <f t="shared" si="4"/>
        <v>chapa de hierro N°16 DD de 1 x 2 m.</v>
      </c>
      <c r="C90" s="6" t="str">
        <f t="shared" si="5"/>
        <v>kg</v>
      </c>
      <c r="D90" s="60">
        <v>3.31</v>
      </c>
      <c r="E90" s="60">
        <f t="shared" si="6"/>
        <v>5.3509</v>
      </c>
      <c r="F90" s="79">
        <f t="shared" si="7"/>
        <v>17.711479</v>
      </c>
    </row>
    <row r="91" spans="1:6" ht="12.75">
      <c r="A91" s="3" t="s">
        <v>294</v>
      </c>
      <c r="B91" s="4" t="str">
        <f t="shared" si="4"/>
        <v>arena gruesa</v>
      </c>
      <c r="C91" s="6" t="str">
        <f t="shared" si="5"/>
        <v>m3</v>
      </c>
      <c r="D91" s="60">
        <v>0.6</v>
      </c>
      <c r="E91" s="60">
        <f t="shared" si="6"/>
        <v>51</v>
      </c>
      <c r="F91" s="79">
        <f t="shared" si="7"/>
        <v>30.599999999999998</v>
      </c>
    </row>
    <row r="92" spans="1:6" ht="12.75">
      <c r="A92" s="94" t="s">
        <v>1074</v>
      </c>
      <c r="D92" s="60"/>
      <c r="E92" s="60"/>
      <c r="F92" s="79"/>
    </row>
    <row r="93" spans="1:6" ht="12.75">
      <c r="A93" s="3" t="s">
        <v>289</v>
      </c>
      <c r="B93" s="4" t="str">
        <f>VLOOKUP(A93,Insumos,2)</f>
        <v>cuadrilla tipo UOCRA</v>
      </c>
      <c r="C93" s="6" t="str">
        <f>VLOOKUP(A93,Insumos,3)</f>
        <v>h</v>
      </c>
      <c r="D93" s="60">
        <v>30</v>
      </c>
      <c r="E93" s="60">
        <f>VLOOKUP(A93,Insumos,4)</f>
        <v>21.86</v>
      </c>
      <c r="F93" s="79">
        <f>(D93*E93)</f>
        <v>655.8</v>
      </c>
    </row>
    <row r="94" spans="1:6" ht="12.75">
      <c r="A94" s="94" t="s">
        <v>1075</v>
      </c>
      <c r="D94" s="60"/>
      <c r="E94" s="60"/>
      <c r="F94" s="79"/>
    </row>
    <row r="95" spans="1:6" ht="12.75">
      <c r="A95" s="3" t="s">
        <v>295</v>
      </c>
      <c r="B95" s="4" t="str">
        <f>VLOOKUP(A95,Insumos,2)</f>
        <v>canasta 2 (mixer 5m3)</v>
      </c>
      <c r="C95" s="6" t="str">
        <f>VLOOKUP(A95,Insumos,3)</f>
        <v>h</v>
      </c>
      <c r="D95" s="60">
        <v>0.05</v>
      </c>
      <c r="E95" s="60">
        <f>VLOOKUP(A95,Insumos,4)</f>
        <v>262.81</v>
      </c>
      <c r="F95" s="79">
        <f>(D95*E95)</f>
        <v>13.140500000000001</v>
      </c>
    </row>
    <row r="96" spans="4:6" ht="13.5" thickBot="1">
      <c r="D96" s="60"/>
      <c r="E96" s="60"/>
      <c r="F96" s="79"/>
    </row>
    <row r="97" spans="1:7" ht="13.5" thickTop="1">
      <c r="A97" s="87" t="s">
        <v>1069</v>
      </c>
      <c r="B97" s="8" t="s">
        <v>1099</v>
      </c>
      <c r="C97" s="89" t="str">
        <f>Fecha</f>
        <v>JUN/10</v>
      </c>
      <c r="D97" s="57"/>
      <c r="E97" s="57"/>
      <c r="F97" s="77">
        <f>SUM(F99:F108)</f>
        <v>1550.2541049999995</v>
      </c>
      <c r="G97" s="50"/>
    </row>
    <row r="98" spans="1:7" ht="13.5" thickBot="1">
      <c r="A98" s="7" t="s">
        <v>1068</v>
      </c>
      <c r="B98" s="7" t="s">
        <v>349</v>
      </c>
      <c r="C98" s="90" t="s">
        <v>1067</v>
      </c>
      <c r="D98" s="58" t="s">
        <v>1101</v>
      </c>
      <c r="E98" s="59"/>
      <c r="F98" s="78"/>
      <c r="G98" s="51" t="s">
        <v>652</v>
      </c>
    </row>
    <row r="99" spans="1:6" ht="13.5" thickTop="1">
      <c r="A99" s="94" t="s">
        <v>1073</v>
      </c>
      <c r="D99" s="60"/>
      <c r="E99" s="60"/>
      <c r="F99" s="79"/>
    </row>
    <row r="100" spans="1:6" ht="12.75">
      <c r="A100" s="3" t="s">
        <v>291</v>
      </c>
      <c r="B100" s="4" t="str">
        <f>VLOOKUP(A100,Insumos,2)</f>
        <v>hierro mejorado de 10 mm.</v>
      </c>
      <c r="C100" s="6" t="str">
        <f>VLOOKUP(A100,Insumos,3)</f>
        <v>kg</v>
      </c>
      <c r="D100" s="60">
        <f>119+0.6+1+1</f>
        <v>121.6</v>
      </c>
      <c r="E100" s="60">
        <f>VLOOKUP(A100,Insumos,4)</f>
        <v>4.1892</v>
      </c>
      <c r="F100" s="79">
        <f>(D100*E100)</f>
        <v>509.40671999999995</v>
      </c>
    </row>
    <row r="101" spans="1:6" ht="12.75">
      <c r="A101" s="3" t="s">
        <v>292</v>
      </c>
      <c r="B101" s="4" t="str">
        <f>VLOOKUP(A101,Insumos,2)</f>
        <v>cemento Portland</v>
      </c>
      <c r="C101" s="6" t="str">
        <f>VLOOKUP(A101,Insumos,3)</f>
        <v>kg</v>
      </c>
      <c r="D101" s="60">
        <v>310</v>
      </c>
      <c r="E101" s="60">
        <f>VLOOKUP(A101,Insumos,4)</f>
        <v>0.4787</v>
      </c>
      <c r="F101" s="79">
        <f>(D101*E101)</f>
        <v>148.397</v>
      </c>
    </row>
    <row r="102" spans="1:6" ht="12.75">
      <c r="A102" s="3" t="s">
        <v>845</v>
      </c>
      <c r="B102" s="4" t="str">
        <f>VLOOKUP(A102,Insumos,2)</f>
        <v>madera 1ra. pino nacional cepillada</v>
      </c>
      <c r="C102" s="6" t="str">
        <f>VLOOKUP(A102,Insumos,3)</f>
        <v>m2</v>
      </c>
      <c r="D102" s="60">
        <v>3.43</v>
      </c>
      <c r="E102" s="60">
        <f>VLOOKUP(A102,Insumos,4)</f>
        <v>40.2195</v>
      </c>
      <c r="F102" s="79">
        <f>(D102*E102)</f>
        <v>137.95288499999998</v>
      </c>
    </row>
    <row r="103" spans="1:6" ht="12.75">
      <c r="A103" s="3" t="s">
        <v>293</v>
      </c>
      <c r="B103" s="4" t="str">
        <f>VLOOKUP(A103,Insumos,2)</f>
        <v>ripio zarandeado 1/3</v>
      </c>
      <c r="C103" s="6" t="str">
        <f>VLOOKUP(A103,Insumos,3)</f>
        <v>m3</v>
      </c>
      <c r="D103" s="60">
        <v>0.91</v>
      </c>
      <c r="E103" s="60">
        <f>VLOOKUP(A103,Insumos,4)</f>
        <v>45.5</v>
      </c>
      <c r="F103" s="79">
        <f>(D103*E103)</f>
        <v>41.405</v>
      </c>
    </row>
    <row r="104" spans="1:6" ht="12.75">
      <c r="A104" s="3" t="s">
        <v>294</v>
      </c>
      <c r="B104" s="4" t="str">
        <f>VLOOKUP(A104,Insumos,2)</f>
        <v>arena gruesa</v>
      </c>
      <c r="C104" s="6" t="str">
        <f>VLOOKUP(A104,Insumos,3)</f>
        <v>m3</v>
      </c>
      <c r="D104" s="60">
        <v>0.78</v>
      </c>
      <c r="E104" s="60">
        <f>VLOOKUP(A104,Insumos,4)</f>
        <v>51</v>
      </c>
      <c r="F104" s="79">
        <f>(D104*E104)</f>
        <v>39.78</v>
      </c>
    </row>
    <row r="105" spans="1:6" ht="12.75">
      <c r="A105" s="94" t="s">
        <v>1074</v>
      </c>
      <c r="D105" s="60"/>
      <c r="E105" s="60"/>
      <c r="F105" s="79"/>
    </row>
    <row r="106" spans="1:6" ht="12.75">
      <c r="A106" s="3" t="s">
        <v>289</v>
      </c>
      <c r="B106" s="4" t="str">
        <f>VLOOKUP(A106,Insumos,2)</f>
        <v>cuadrilla tipo UOCRA</v>
      </c>
      <c r="C106" s="6" t="str">
        <f>VLOOKUP(A106,Insumos,3)</f>
        <v>h</v>
      </c>
      <c r="D106" s="73">
        <f>30.2</f>
        <v>30.2</v>
      </c>
      <c r="E106" s="60">
        <f>VLOOKUP(A106,Insumos,4)</f>
        <v>21.86</v>
      </c>
      <c r="F106" s="79">
        <f>(D106*E106)</f>
        <v>660.1719999999999</v>
      </c>
    </row>
    <row r="107" spans="1:6" ht="12.75">
      <c r="A107" s="94" t="s">
        <v>1075</v>
      </c>
      <c r="D107" s="60"/>
      <c r="E107" s="60"/>
      <c r="F107" s="79"/>
    </row>
    <row r="108" spans="1:6" ht="12.75">
      <c r="A108" s="3" t="s">
        <v>295</v>
      </c>
      <c r="B108" s="4" t="str">
        <f>VLOOKUP(A108,Insumos,2)</f>
        <v>canasta 2 (mixer 5m3)</v>
      </c>
      <c r="C108" s="6" t="str">
        <f>VLOOKUP(A108,Insumos,3)</f>
        <v>h</v>
      </c>
      <c r="D108" s="60">
        <v>0.05</v>
      </c>
      <c r="E108" s="60">
        <f>VLOOKUP(A108,Insumos,4)</f>
        <v>262.81</v>
      </c>
      <c r="F108" s="79">
        <f>(D108*E108)</f>
        <v>13.140500000000001</v>
      </c>
    </row>
    <row r="109" ht="13.5" thickBot="1"/>
    <row r="110" spans="1:7" ht="13.5" thickTop="1">
      <c r="A110" s="87" t="s">
        <v>1069</v>
      </c>
      <c r="B110" s="8" t="s">
        <v>1102</v>
      </c>
      <c r="C110" s="89" t="str">
        <f>Fecha</f>
        <v>JUN/10</v>
      </c>
      <c r="D110" s="57"/>
      <c r="E110" s="57"/>
      <c r="F110" s="77">
        <f>SUM(F112:F121)</f>
        <v>1741.517849</v>
      </c>
      <c r="G110" s="50"/>
    </row>
    <row r="111" spans="1:7" ht="13.5" thickBot="1">
      <c r="A111" s="7" t="s">
        <v>1068</v>
      </c>
      <c r="B111" s="7" t="s">
        <v>349</v>
      </c>
      <c r="C111" s="90" t="s">
        <v>1067</v>
      </c>
      <c r="D111" s="58" t="s">
        <v>1103</v>
      </c>
      <c r="E111" s="59"/>
      <c r="F111" s="78"/>
      <c r="G111" s="51" t="s">
        <v>652</v>
      </c>
    </row>
    <row r="112" spans="1:6" ht="13.5" thickTop="1">
      <c r="A112" s="94" t="s">
        <v>1073</v>
      </c>
      <c r="D112" s="60"/>
      <c r="E112" s="60"/>
      <c r="F112" s="79"/>
    </row>
    <row r="113" spans="1:6" ht="12.75">
      <c r="A113" s="3" t="s">
        <v>291</v>
      </c>
      <c r="B113" s="4" t="str">
        <f>VLOOKUP(A113,Insumos,2)</f>
        <v>hierro mejorado de 10 mm.</v>
      </c>
      <c r="C113" s="6" t="str">
        <f>VLOOKUP(A113,Insumos,3)</f>
        <v>kg</v>
      </c>
      <c r="D113" s="60">
        <f>132+12+3.4</f>
        <v>147.4</v>
      </c>
      <c r="E113" s="60">
        <f>VLOOKUP(A113,Insumos,4)</f>
        <v>4.1892</v>
      </c>
      <c r="F113" s="79">
        <f>(D113*E113)</f>
        <v>617.48808</v>
      </c>
    </row>
    <row r="114" spans="1:6" ht="12.75">
      <c r="A114" s="3" t="s">
        <v>292</v>
      </c>
      <c r="B114" s="4" t="str">
        <f>VLOOKUP(A114,Insumos,2)</f>
        <v>cemento Portland</v>
      </c>
      <c r="C114" s="6" t="str">
        <f>VLOOKUP(A114,Insumos,3)</f>
        <v>kg</v>
      </c>
      <c r="D114" s="60">
        <v>310</v>
      </c>
      <c r="E114" s="60">
        <f>VLOOKUP(A114,Insumos,4)</f>
        <v>0.4787</v>
      </c>
      <c r="F114" s="79">
        <f>(D114*E114)</f>
        <v>148.397</v>
      </c>
    </row>
    <row r="115" spans="1:6" ht="12.75">
      <c r="A115" s="3" t="s">
        <v>845</v>
      </c>
      <c r="B115" s="4" t="str">
        <f>VLOOKUP(A115,Insumos,2)</f>
        <v>madera 1ra. pino nacional cepillada</v>
      </c>
      <c r="C115" s="6" t="str">
        <f>VLOOKUP(A115,Insumos,3)</f>
        <v>m2</v>
      </c>
      <c r="D115" s="60">
        <v>1.942</v>
      </c>
      <c r="E115" s="60">
        <f>VLOOKUP(A115,Insumos,4)</f>
        <v>40.2195</v>
      </c>
      <c r="F115" s="79">
        <f>(D115*E115)</f>
        <v>78.106269</v>
      </c>
    </row>
    <row r="116" spans="1:6" ht="12.75">
      <c r="A116" s="3" t="s">
        <v>293</v>
      </c>
      <c r="B116" s="4" t="str">
        <f>VLOOKUP(A116,Insumos,2)</f>
        <v>ripio zarandeado 1/3</v>
      </c>
      <c r="C116" s="6" t="str">
        <f>VLOOKUP(A116,Insumos,3)</f>
        <v>m3</v>
      </c>
      <c r="D116" s="60">
        <v>0.7</v>
      </c>
      <c r="E116" s="60">
        <f>VLOOKUP(A116,Insumos,4)</f>
        <v>45.5</v>
      </c>
      <c r="F116" s="79">
        <f>(D116*E116)</f>
        <v>31.849999999999998</v>
      </c>
    </row>
    <row r="117" spans="1:6" ht="12.75">
      <c r="A117" s="3" t="s">
        <v>294</v>
      </c>
      <c r="B117" s="4" t="str">
        <f>VLOOKUP(A117,Insumos,2)</f>
        <v>arena gruesa</v>
      </c>
      <c r="C117" s="6" t="str">
        <f>VLOOKUP(A117,Insumos,3)</f>
        <v>m3</v>
      </c>
      <c r="D117" s="60">
        <v>0.6</v>
      </c>
      <c r="E117" s="60">
        <f>VLOOKUP(A117,Insumos,4)</f>
        <v>51</v>
      </c>
      <c r="F117" s="79">
        <f>(D117*E117)</f>
        <v>30.599999999999998</v>
      </c>
    </row>
    <row r="118" spans="1:6" ht="12.75">
      <c r="A118" s="94" t="s">
        <v>1074</v>
      </c>
      <c r="D118" s="60"/>
      <c r="E118" s="60"/>
      <c r="F118" s="79"/>
    </row>
    <row r="119" spans="1:6" ht="12.75">
      <c r="A119" s="3" t="s">
        <v>289</v>
      </c>
      <c r="B119" s="4" t="str">
        <f>VLOOKUP(A119,Insumos,2)</f>
        <v>cuadrilla tipo UOCRA</v>
      </c>
      <c r="C119" s="6" t="str">
        <f>VLOOKUP(A119,Insumos,3)</f>
        <v>h</v>
      </c>
      <c r="D119" s="60">
        <v>37.6</v>
      </c>
      <c r="E119" s="60">
        <f>VLOOKUP(A119,Insumos,4)</f>
        <v>21.86</v>
      </c>
      <c r="F119" s="79">
        <f>(D119*E119)</f>
        <v>821.936</v>
      </c>
    </row>
    <row r="120" spans="1:6" ht="12.75">
      <c r="A120" s="94" t="s">
        <v>1075</v>
      </c>
      <c r="D120" s="60"/>
      <c r="E120" s="60"/>
      <c r="F120" s="79"/>
    </row>
    <row r="121" spans="1:6" ht="12.75">
      <c r="A121" s="3" t="s">
        <v>295</v>
      </c>
      <c r="B121" s="4" t="str">
        <f>VLOOKUP(A121,Insumos,2)</f>
        <v>canasta 2 (mixer 5m3)</v>
      </c>
      <c r="C121" s="6" t="str">
        <f>VLOOKUP(A121,Insumos,3)</f>
        <v>h</v>
      </c>
      <c r="D121" s="60">
        <v>0.05</v>
      </c>
      <c r="E121" s="60">
        <f>VLOOKUP(A121,Insumos,4)</f>
        <v>262.81</v>
      </c>
      <c r="F121" s="79">
        <f>(D121*E121)</f>
        <v>13.140500000000001</v>
      </c>
    </row>
    <row r="122" ht="13.5" thickBot="1"/>
    <row r="123" spans="1:7" ht="13.5" thickTop="1">
      <c r="A123" s="87" t="s">
        <v>1069</v>
      </c>
      <c r="B123" s="8" t="s">
        <v>1104</v>
      </c>
      <c r="C123" s="89" t="str">
        <f>Fecha</f>
        <v>JUN/10</v>
      </c>
      <c r="D123" s="57"/>
      <c r="E123" s="57"/>
      <c r="F123" s="77">
        <f>SUM(F125:F134)</f>
        <v>2051.8365244999995</v>
      </c>
      <c r="G123" s="50"/>
    </row>
    <row r="124" spans="1:7" ht="13.5" thickBot="1">
      <c r="A124" s="7" t="s">
        <v>1068</v>
      </c>
      <c r="B124" s="7" t="s">
        <v>349</v>
      </c>
      <c r="C124" s="90" t="s">
        <v>1067</v>
      </c>
      <c r="D124" s="58" t="s">
        <v>1105</v>
      </c>
      <c r="E124" s="59"/>
      <c r="F124" s="78"/>
      <c r="G124" s="51" t="s">
        <v>652</v>
      </c>
    </row>
    <row r="125" spans="1:6" ht="13.5" thickTop="1">
      <c r="A125" s="94" t="s">
        <v>1073</v>
      </c>
      <c r="D125" s="60"/>
      <c r="E125" s="60"/>
      <c r="F125" s="79"/>
    </row>
    <row r="126" spans="1:6" ht="12.75">
      <c r="A126" s="3" t="s">
        <v>291</v>
      </c>
      <c r="B126" s="4" t="str">
        <f>VLOOKUP(A126,Insumos,2)</f>
        <v>hierro mejorado de 10 mm.</v>
      </c>
      <c r="C126" s="6" t="str">
        <f>VLOOKUP(A126,Insumos,3)</f>
        <v>kg</v>
      </c>
      <c r="D126" s="60">
        <f>214+2.5</f>
        <v>216.5</v>
      </c>
      <c r="E126" s="60">
        <f>VLOOKUP(A126,Insumos,4)</f>
        <v>4.1892</v>
      </c>
      <c r="F126" s="79">
        <f>(D126*E126)</f>
        <v>906.9617999999999</v>
      </c>
    </row>
    <row r="127" spans="1:6" ht="12.75">
      <c r="A127" s="3" t="s">
        <v>292</v>
      </c>
      <c r="B127" s="4" t="str">
        <f>VLOOKUP(A127,Insumos,2)</f>
        <v>cemento Portland</v>
      </c>
      <c r="C127" s="6" t="str">
        <f>VLOOKUP(A127,Insumos,3)</f>
        <v>kg</v>
      </c>
      <c r="D127" s="60">
        <v>315</v>
      </c>
      <c r="E127" s="60">
        <f>VLOOKUP(A127,Insumos,4)</f>
        <v>0.4787</v>
      </c>
      <c r="F127" s="79">
        <f>(D127*E127)</f>
        <v>150.7905</v>
      </c>
    </row>
    <row r="128" spans="1:6" ht="12.75">
      <c r="A128" s="3" t="s">
        <v>845</v>
      </c>
      <c r="B128" s="4" t="str">
        <f>VLOOKUP(A128,Insumos,2)</f>
        <v>madera 1ra. pino nacional cepillada</v>
      </c>
      <c r="C128" s="6" t="str">
        <f>VLOOKUP(A128,Insumos,3)</f>
        <v>m2</v>
      </c>
      <c r="D128" s="60">
        <v>2.591</v>
      </c>
      <c r="E128" s="60">
        <f>VLOOKUP(A128,Insumos,4)</f>
        <v>40.2195</v>
      </c>
      <c r="F128" s="79">
        <f>(D128*E128)</f>
        <v>104.2087245</v>
      </c>
    </row>
    <row r="129" spans="1:6" ht="12.75">
      <c r="A129" s="3" t="s">
        <v>293</v>
      </c>
      <c r="B129" s="4" t="str">
        <f>VLOOKUP(A129,Insumos,2)</f>
        <v>ripio zarandeado 1/3</v>
      </c>
      <c r="C129" s="6" t="str">
        <f>VLOOKUP(A129,Insumos,3)</f>
        <v>m3</v>
      </c>
      <c r="D129" s="60">
        <v>0.7</v>
      </c>
      <c r="E129" s="60">
        <f>VLOOKUP(A129,Insumos,4)</f>
        <v>45.5</v>
      </c>
      <c r="F129" s="79">
        <f>(D129*E129)</f>
        <v>31.849999999999998</v>
      </c>
    </row>
    <row r="130" spans="1:6" ht="12.75">
      <c r="A130" s="3" t="s">
        <v>294</v>
      </c>
      <c r="B130" s="4" t="str">
        <f>VLOOKUP(A130,Insumos,2)</f>
        <v>arena gruesa</v>
      </c>
      <c r="C130" s="6" t="str">
        <f>VLOOKUP(A130,Insumos,3)</f>
        <v>m3</v>
      </c>
      <c r="D130" s="60">
        <v>0.6</v>
      </c>
      <c r="E130" s="60">
        <f>VLOOKUP(A130,Insumos,4)</f>
        <v>51</v>
      </c>
      <c r="F130" s="79">
        <f>(D130*E130)</f>
        <v>30.599999999999998</v>
      </c>
    </row>
    <row r="131" spans="1:6" ht="12.75">
      <c r="A131" s="94" t="s">
        <v>1074</v>
      </c>
      <c r="D131" s="60"/>
      <c r="E131" s="60"/>
      <c r="F131" s="79"/>
    </row>
    <row r="132" spans="1:6" ht="12.75">
      <c r="A132" s="3" t="s">
        <v>289</v>
      </c>
      <c r="B132" s="4" t="str">
        <f>VLOOKUP(A132,Insumos,2)</f>
        <v>cuadrilla tipo UOCRA</v>
      </c>
      <c r="C132" s="6" t="str">
        <f>VLOOKUP(A132,Insumos,3)</f>
        <v>h</v>
      </c>
      <c r="D132" s="73">
        <v>37.25</v>
      </c>
      <c r="E132" s="60">
        <f>VLOOKUP(A132,Insumos,4)</f>
        <v>21.86</v>
      </c>
      <c r="F132" s="79">
        <f>(D132*E132)</f>
        <v>814.285</v>
      </c>
    </row>
    <row r="133" spans="1:6" ht="12.75">
      <c r="A133" s="94" t="s">
        <v>1075</v>
      </c>
      <c r="D133" s="60"/>
      <c r="E133" s="60"/>
      <c r="F133" s="79"/>
    </row>
    <row r="134" spans="1:6" ht="12.75">
      <c r="A134" s="3" t="s">
        <v>295</v>
      </c>
      <c r="B134" s="4" t="str">
        <f>VLOOKUP(A134,Insumos,2)</f>
        <v>canasta 2 (mixer 5m3)</v>
      </c>
      <c r="C134" s="6" t="str">
        <f>VLOOKUP(A134,Insumos,3)</f>
        <v>h</v>
      </c>
      <c r="D134" s="60">
        <v>0.05</v>
      </c>
      <c r="E134" s="60">
        <f>VLOOKUP(A134,Insumos,4)</f>
        <v>262.81</v>
      </c>
      <c r="F134" s="79">
        <f>(D134*E134)</f>
        <v>13.140500000000001</v>
      </c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I125"/>
  <sheetViews>
    <sheetView showGridLines="0" zoomScale="90" zoomScaleNormal="90" zoomScaleSheetLayoutView="75" workbookViewId="0" topLeftCell="A1">
      <selection activeCell="D1" sqref="D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1069</v>
      </c>
      <c r="B2" s="8" t="s">
        <v>492</v>
      </c>
      <c r="C2" s="89" t="str">
        <f>Fecha</f>
        <v>JUN/10</v>
      </c>
      <c r="D2" s="57"/>
      <c r="E2" s="57"/>
      <c r="F2" s="77">
        <f>SUM(F4:F12)</f>
        <v>75.955768</v>
      </c>
      <c r="G2" s="50"/>
    </row>
    <row r="3" spans="1:7" ht="13.5" thickBot="1">
      <c r="A3" s="7" t="s">
        <v>1068</v>
      </c>
      <c r="B3" s="7" t="s">
        <v>350</v>
      </c>
      <c r="C3" s="90" t="s">
        <v>1067</v>
      </c>
      <c r="D3" s="58" t="s">
        <v>513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299</v>
      </c>
      <c r="B5" s="4" t="str">
        <f>VLOOKUP(A5,Insumos,2)</f>
        <v>cal hidratada en bolsa</v>
      </c>
      <c r="C5" s="6" t="str">
        <f>VLOOKUP(A5,Insumos,3)</f>
        <v>kg</v>
      </c>
      <c r="D5" s="60">
        <v>6.96</v>
      </c>
      <c r="E5" s="60">
        <f>VLOOKUP(A5,Insumos,4)</f>
        <v>0.5035</v>
      </c>
      <c r="F5" s="79">
        <f>(D5*E5)</f>
        <v>3.5043599999999997</v>
      </c>
    </row>
    <row r="6" spans="1:6" ht="12.75">
      <c r="A6" s="3" t="s">
        <v>292</v>
      </c>
      <c r="B6" s="4" t="str">
        <f>VLOOKUP(A6,Insumos,2)</f>
        <v>cemento Portland</v>
      </c>
      <c r="C6" s="6" t="str">
        <f>VLOOKUP(A6,Insumos,3)</f>
        <v>kg</v>
      </c>
      <c r="D6" s="60">
        <v>4.13</v>
      </c>
      <c r="E6" s="60">
        <f>VLOOKUP(A6,Insumos,4)</f>
        <v>0.4787</v>
      </c>
      <c r="F6" s="79">
        <f>(D6*E6)</f>
        <v>1.977031</v>
      </c>
    </row>
    <row r="7" spans="1:6" ht="12.75">
      <c r="A7" s="3" t="s">
        <v>300</v>
      </c>
      <c r="B7" s="4" t="str">
        <f>VLOOKUP(A7,Insumos,2)</f>
        <v>ladrillo común de 1ra.calidad</v>
      </c>
      <c r="C7" s="6" t="str">
        <f>VLOOKUP(A7,Insumos,3)</f>
        <v>mil</v>
      </c>
      <c r="D7" s="60">
        <v>0.055</v>
      </c>
      <c r="E7" s="60">
        <f>VLOOKUP(A7,Insumos,4)</f>
        <v>550</v>
      </c>
      <c r="F7" s="79">
        <f>(D7*E7)</f>
        <v>30.25</v>
      </c>
    </row>
    <row r="8" spans="1:6" ht="12.75">
      <c r="A8" s="3" t="s">
        <v>294</v>
      </c>
      <c r="B8" s="4" t="str">
        <f>VLOOKUP(A8,Insumos,2)</f>
        <v>arena gruesa</v>
      </c>
      <c r="C8" s="6" t="str">
        <f>VLOOKUP(A8,Insumos,3)</f>
        <v>m3</v>
      </c>
      <c r="D8" s="60">
        <v>0.047</v>
      </c>
      <c r="E8" s="60">
        <f>VLOOKUP(A8,Insumos,4)</f>
        <v>51</v>
      </c>
      <c r="F8" s="79">
        <f>(D8*E8)</f>
        <v>2.397</v>
      </c>
    </row>
    <row r="9" spans="1:6" ht="12.75">
      <c r="A9" s="94" t="s">
        <v>1074</v>
      </c>
      <c r="D9" s="60"/>
      <c r="E9" s="60"/>
      <c r="F9" s="79"/>
    </row>
    <row r="10" spans="1:6" ht="12.75">
      <c r="A10" s="3" t="s">
        <v>289</v>
      </c>
      <c r="B10" s="4" t="str">
        <f>VLOOKUP(A10,Insumos,2)</f>
        <v>cuadrilla tipo UOCRA</v>
      </c>
      <c r="C10" s="6" t="str">
        <f>VLOOKUP(A10,Insumos,3)</f>
        <v>h</v>
      </c>
      <c r="D10" s="60">
        <v>1.71</v>
      </c>
      <c r="E10" s="60">
        <f>VLOOKUP(A10,Insumos,4)</f>
        <v>21.86</v>
      </c>
      <c r="F10" s="79">
        <f>(D10*E10)</f>
        <v>37.3806</v>
      </c>
    </row>
    <row r="11" spans="1:6" ht="12.75">
      <c r="A11" s="94" t="s">
        <v>1075</v>
      </c>
      <c r="D11" s="60"/>
      <c r="E11" s="60"/>
      <c r="F11" s="79"/>
    </row>
    <row r="12" spans="1:6" ht="12.75">
      <c r="A12" s="3" t="s">
        <v>295</v>
      </c>
      <c r="B12" s="4" t="str">
        <f>VLOOKUP(A12,Insumos,2)</f>
        <v>canasta 2 (mixer 5m3)</v>
      </c>
      <c r="C12" s="6" t="str">
        <f>VLOOKUP(A12,Insumos,3)</f>
        <v>h</v>
      </c>
      <c r="D12" s="60">
        <v>0.0017</v>
      </c>
      <c r="E12" s="60">
        <f>VLOOKUP(A12,Insumos,4)</f>
        <v>262.81</v>
      </c>
      <c r="F12" s="79">
        <f>(D12*E12)</f>
        <v>0.446777</v>
      </c>
    </row>
    <row r="13" spans="4:6" ht="13.5" thickBot="1">
      <c r="D13" s="60"/>
      <c r="E13" s="60"/>
      <c r="F13" s="79"/>
    </row>
    <row r="14" spans="1:7" ht="13.5" thickTop="1">
      <c r="A14" s="87" t="s">
        <v>1069</v>
      </c>
      <c r="B14" s="8" t="s">
        <v>516</v>
      </c>
      <c r="C14" s="89" t="str">
        <f>Fecha</f>
        <v>JUN/10</v>
      </c>
      <c r="D14" s="57"/>
      <c r="E14" s="57"/>
      <c r="F14" s="77">
        <f>SUM(F16:F24)</f>
        <v>535.105694</v>
      </c>
      <c r="G14" s="50"/>
    </row>
    <row r="15" spans="1:7" ht="13.5" thickBot="1">
      <c r="A15" s="7" t="s">
        <v>1068</v>
      </c>
      <c r="B15" s="7" t="s">
        <v>350</v>
      </c>
      <c r="C15" s="90" t="s">
        <v>1067</v>
      </c>
      <c r="D15" s="58" t="s">
        <v>512</v>
      </c>
      <c r="E15" s="59"/>
      <c r="F15" s="78"/>
      <c r="G15" s="51" t="s">
        <v>652</v>
      </c>
    </row>
    <row r="16" spans="1:6" ht="13.5" thickTop="1">
      <c r="A16" s="94" t="s">
        <v>1073</v>
      </c>
      <c r="D16" s="60"/>
      <c r="E16" s="60"/>
      <c r="F16" s="79"/>
    </row>
    <row r="17" spans="1:6" ht="12.75">
      <c r="A17" s="3" t="s">
        <v>299</v>
      </c>
      <c r="B17" s="4" t="str">
        <f>VLOOKUP(A17,Insumos,2)</f>
        <v>cal hidratada en bolsa</v>
      </c>
      <c r="C17" s="6" t="str">
        <f>VLOOKUP(A17,Insumos,3)</f>
        <v>kg</v>
      </c>
      <c r="D17" s="60">
        <v>57.6</v>
      </c>
      <c r="E17" s="60">
        <f>VLOOKUP(A17,Insumos,4)</f>
        <v>0.5035</v>
      </c>
      <c r="F17" s="79">
        <f>(D17*E17)</f>
        <v>29.001599999999996</v>
      </c>
    </row>
    <row r="18" spans="1:6" ht="12.75">
      <c r="A18" s="3" t="s">
        <v>292</v>
      </c>
      <c r="B18" s="4" t="str">
        <f>VLOOKUP(A18,Insumos,2)</f>
        <v>cemento Portland</v>
      </c>
      <c r="C18" s="6" t="str">
        <f>VLOOKUP(A18,Insumos,3)</f>
        <v>kg</v>
      </c>
      <c r="D18" s="60">
        <v>34.2</v>
      </c>
      <c r="E18" s="60">
        <f>VLOOKUP(A18,Insumos,4)</f>
        <v>0.4787</v>
      </c>
      <c r="F18" s="79">
        <f>(D18*E18)</f>
        <v>16.371540000000003</v>
      </c>
    </row>
    <row r="19" spans="1:6" ht="12.75">
      <c r="A19" s="3" t="s">
        <v>300</v>
      </c>
      <c r="B19" s="4" t="str">
        <f>VLOOKUP(A19,Insumos,2)</f>
        <v>ladrillo común de 1ra.calidad</v>
      </c>
      <c r="C19" s="6" t="str">
        <f>VLOOKUP(A19,Insumos,3)</f>
        <v>mil</v>
      </c>
      <c r="D19" s="60">
        <v>0.4</v>
      </c>
      <c r="E19" s="60">
        <f>VLOOKUP(A19,Insumos,4)</f>
        <v>550</v>
      </c>
      <c r="F19" s="79">
        <f>(D19*E19)</f>
        <v>220</v>
      </c>
    </row>
    <row r="20" spans="1:6" ht="12.75">
      <c r="A20" s="3" t="s">
        <v>294</v>
      </c>
      <c r="B20" s="4" t="str">
        <f>VLOOKUP(A20,Insumos,2)</f>
        <v>arena gruesa</v>
      </c>
      <c r="C20" s="6" t="str">
        <f>VLOOKUP(A20,Insumos,3)</f>
        <v>m3</v>
      </c>
      <c r="D20" s="60">
        <v>0.385</v>
      </c>
      <c r="E20" s="60">
        <f>VLOOKUP(A20,Insumos,4)</f>
        <v>51</v>
      </c>
      <c r="F20" s="79">
        <f>(D20*E20)</f>
        <v>19.635</v>
      </c>
    </row>
    <row r="21" spans="1:6" ht="12.75">
      <c r="A21" s="94" t="s">
        <v>1074</v>
      </c>
      <c r="D21" s="60"/>
      <c r="E21" s="60"/>
      <c r="F21" s="79"/>
    </row>
    <row r="22" spans="1:6" ht="12.75">
      <c r="A22" s="3" t="s">
        <v>289</v>
      </c>
      <c r="B22" s="4" t="str">
        <f>VLOOKUP(A22,Insumos,2)</f>
        <v>cuadrilla tipo UOCRA</v>
      </c>
      <c r="C22" s="6" t="str">
        <f>VLOOKUP(A22,Insumos,3)</f>
        <v>h</v>
      </c>
      <c r="D22" s="60">
        <v>11.4</v>
      </c>
      <c r="E22" s="60">
        <f>VLOOKUP(A22,Insumos,4)</f>
        <v>21.86</v>
      </c>
      <c r="F22" s="79">
        <f>(D22*E22)</f>
        <v>249.204</v>
      </c>
    </row>
    <row r="23" spans="1:6" ht="12.75">
      <c r="A23" s="94" t="s">
        <v>1075</v>
      </c>
      <c r="D23" s="60"/>
      <c r="E23" s="60"/>
      <c r="F23" s="79"/>
    </row>
    <row r="24" spans="1:6" ht="12.75">
      <c r="A24" s="3" t="s">
        <v>295</v>
      </c>
      <c r="B24" s="4" t="str">
        <f>VLOOKUP(A24,Insumos,2)</f>
        <v>canasta 2 (mixer 5m3)</v>
      </c>
      <c r="C24" s="6" t="str">
        <f>VLOOKUP(A24,Insumos,3)</f>
        <v>h</v>
      </c>
      <c r="D24" s="60">
        <v>0.0034</v>
      </c>
      <c r="E24" s="60">
        <f>VLOOKUP(A24,Insumos,4)</f>
        <v>262.81</v>
      </c>
      <c r="F24" s="79">
        <f>(D24*E24)</f>
        <v>0.893554</v>
      </c>
    </row>
    <row r="25" spans="1:6" ht="13.5" thickBot="1">
      <c r="A25" s="3"/>
      <c r="B25" s="4"/>
      <c r="C25" s="6"/>
      <c r="D25" s="60"/>
      <c r="E25" s="60"/>
      <c r="F25" s="79"/>
    </row>
    <row r="26" spans="1:7" ht="13.5" thickTop="1">
      <c r="A26" s="87" t="s">
        <v>1069</v>
      </c>
      <c r="B26" s="8" t="s">
        <v>517</v>
      </c>
      <c r="C26" s="89" t="str">
        <f>Fecha</f>
        <v>JUN/10</v>
      </c>
      <c r="D26" s="57" t="s">
        <v>563</v>
      </c>
      <c r="E26" s="57"/>
      <c r="F26" s="77">
        <f>SUM(F28:F36)</f>
        <v>586.226244</v>
      </c>
      <c r="G26" s="50"/>
    </row>
    <row r="27" spans="1:7" ht="13.5" thickBot="1">
      <c r="A27" s="7" t="s">
        <v>1068</v>
      </c>
      <c r="B27" s="7" t="s">
        <v>350</v>
      </c>
      <c r="C27" s="90" t="s">
        <v>1067</v>
      </c>
      <c r="D27" s="58" t="s">
        <v>515</v>
      </c>
      <c r="E27" s="59"/>
      <c r="F27" s="78"/>
      <c r="G27" s="51" t="s">
        <v>652</v>
      </c>
    </row>
    <row r="28" spans="1:6" ht="13.5" thickTop="1">
      <c r="A28" s="94" t="s">
        <v>1073</v>
      </c>
      <c r="D28" s="60"/>
      <c r="E28" s="60"/>
      <c r="F28" s="79"/>
    </row>
    <row r="29" spans="1:6" ht="12.75">
      <c r="A29" s="3" t="s">
        <v>299</v>
      </c>
      <c r="B29" s="4" t="str">
        <f>VLOOKUP(A29,Insumos,2)</f>
        <v>cal hidratada en bolsa</v>
      </c>
      <c r="C29" s="6" t="str">
        <f>VLOOKUP(A29,Insumos,3)</f>
        <v>kg</v>
      </c>
      <c r="D29" s="60">
        <v>57.6</v>
      </c>
      <c r="E29" s="60">
        <f>VLOOKUP(A29,Insumos,4)</f>
        <v>0.5035</v>
      </c>
      <c r="F29" s="79">
        <f>(D29*E29)</f>
        <v>29.001599999999996</v>
      </c>
    </row>
    <row r="30" spans="1:6" ht="12.75">
      <c r="A30" s="3" t="s">
        <v>292</v>
      </c>
      <c r="B30" s="4" t="str">
        <f>VLOOKUP(A30,Insumos,2)</f>
        <v>cemento Portland</v>
      </c>
      <c r="C30" s="6" t="str">
        <f>VLOOKUP(A30,Insumos,3)</f>
        <v>kg</v>
      </c>
      <c r="D30" s="60">
        <v>38.7</v>
      </c>
      <c r="E30" s="60">
        <f>VLOOKUP(A30,Insumos,4)</f>
        <v>0.4787</v>
      </c>
      <c r="F30" s="79">
        <f>(D30*E30)</f>
        <v>18.52569</v>
      </c>
    </row>
    <row r="31" spans="1:6" ht="12.75">
      <c r="A31" s="3" t="s">
        <v>300</v>
      </c>
      <c r="B31" s="4" t="str">
        <f>VLOOKUP(A31,Insumos,2)</f>
        <v>ladrillo común de 1ra.calidad</v>
      </c>
      <c r="C31" s="6" t="str">
        <f>VLOOKUP(A31,Insumos,3)</f>
        <v>mil</v>
      </c>
      <c r="D31" s="60">
        <v>0.4</v>
      </c>
      <c r="E31" s="60">
        <f>VLOOKUP(A31,Insumos,4)</f>
        <v>550</v>
      </c>
      <c r="F31" s="79">
        <f>(D31*E31)</f>
        <v>220</v>
      </c>
    </row>
    <row r="32" spans="1:6" ht="12.75">
      <c r="A32" s="3" t="s">
        <v>294</v>
      </c>
      <c r="B32" s="4" t="str">
        <f>VLOOKUP(A32,Insumos,2)</f>
        <v>arena gruesa</v>
      </c>
      <c r="C32" s="6" t="str">
        <f>VLOOKUP(A32,Insumos,3)</f>
        <v>m3</v>
      </c>
      <c r="D32" s="60">
        <v>0.385</v>
      </c>
      <c r="E32" s="60">
        <f>VLOOKUP(A32,Insumos,4)</f>
        <v>51</v>
      </c>
      <c r="F32" s="79">
        <f>(D32*E32)</f>
        <v>19.635</v>
      </c>
    </row>
    <row r="33" spans="1:6" ht="12.75">
      <c r="A33" s="94" t="s">
        <v>1074</v>
      </c>
      <c r="D33" s="60"/>
      <c r="E33" s="60"/>
      <c r="F33" s="79"/>
    </row>
    <row r="34" spans="1:6" ht="12.75">
      <c r="A34" s="3" t="s">
        <v>289</v>
      </c>
      <c r="B34" s="4" t="str">
        <f>VLOOKUP(A34,Insumos,2)</f>
        <v>cuadrilla tipo UOCRA</v>
      </c>
      <c r="C34" s="6" t="str">
        <f>VLOOKUP(A34,Insumos,3)</f>
        <v>h</v>
      </c>
      <c r="D34" s="60">
        <v>13.64</v>
      </c>
      <c r="E34" s="60">
        <f>VLOOKUP(A34,Insumos,4)</f>
        <v>21.86</v>
      </c>
      <c r="F34" s="79">
        <f>(D34*E34)</f>
        <v>298.17040000000003</v>
      </c>
    </row>
    <row r="35" spans="1:6" ht="12.75">
      <c r="A35" s="94" t="s">
        <v>1075</v>
      </c>
      <c r="D35" s="60"/>
      <c r="E35" s="60"/>
      <c r="F35" s="79"/>
    </row>
    <row r="36" spans="1:6" ht="12.75">
      <c r="A36" s="3" t="s">
        <v>295</v>
      </c>
      <c r="B36" s="4" t="str">
        <f>VLOOKUP(A36,Insumos,2)</f>
        <v>canasta 2 (mixer 5m3)</v>
      </c>
      <c r="C36" s="6" t="str">
        <f>VLOOKUP(A36,Insumos,3)</f>
        <v>h</v>
      </c>
      <c r="D36" s="60">
        <v>0.0034</v>
      </c>
      <c r="E36" s="60">
        <f>VLOOKUP(A36,Insumos,4)</f>
        <v>262.81</v>
      </c>
      <c r="F36" s="79">
        <f>(D36*E36)</f>
        <v>0.893554</v>
      </c>
    </row>
    <row r="37" spans="4:6" ht="13.5" thickBot="1">
      <c r="D37" s="60"/>
      <c r="E37" s="60"/>
      <c r="F37" s="79"/>
    </row>
    <row r="38" spans="1:7" ht="13.5" thickTop="1">
      <c r="A38" s="87" t="s">
        <v>1069</v>
      </c>
      <c r="B38" s="8" t="s">
        <v>481</v>
      </c>
      <c r="C38" s="89" t="str">
        <f>Fecha</f>
        <v>JUN/10</v>
      </c>
      <c r="D38" s="57"/>
      <c r="E38" s="57"/>
      <c r="F38" s="77">
        <f>SUM(F40:F49)</f>
        <v>45.716547000000006</v>
      </c>
      <c r="G38" s="50"/>
    </row>
    <row r="39" spans="1:7" ht="13.5" thickBot="1">
      <c r="A39" s="7" t="s">
        <v>1068</v>
      </c>
      <c r="B39" s="7" t="s">
        <v>350</v>
      </c>
      <c r="C39" s="90" t="s">
        <v>1067</v>
      </c>
      <c r="D39" s="58" t="s">
        <v>486</v>
      </c>
      <c r="E39" s="59"/>
      <c r="F39" s="78"/>
      <c r="G39" s="51" t="s">
        <v>602</v>
      </c>
    </row>
    <row r="40" spans="1:6" ht="13.5" thickTop="1">
      <c r="A40" s="94" t="s">
        <v>1073</v>
      </c>
      <c r="D40" s="60"/>
      <c r="E40" s="60"/>
      <c r="F40" s="79"/>
    </row>
    <row r="41" spans="1:6" ht="12.75">
      <c r="A41" s="3" t="s">
        <v>291</v>
      </c>
      <c r="B41" s="4" t="str">
        <f>VLOOKUP(A41,Insumos,2)</f>
        <v>hierro mejorado de 10 mm.</v>
      </c>
      <c r="C41" s="6" t="str">
        <f>VLOOKUP(A41,Insumos,3)</f>
        <v>kg</v>
      </c>
      <c r="D41" s="60">
        <v>0.3</v>
      </c>
      <c r="E41" s="60">
        <f>VLOOKUP(A41,Insumos,4)</f>
        <v>4.1892</v>
      </c>
      <c r="F41" s="79">
        <f>(D41*E41)</f>
        <v>1.2567599999999999</v>
      </c>
    </row>
    <row r="42" spans="1:6" ht="12.75">
      <c r="A42" s="3" t="s">
        <v>299</v>
      </c>
      <c r="B42" s="4" t="str">
        <f>VLOOKUP(A42,Insumos,2)</f>
        <v>cal hidratada en bolsa</v>
      </c>
      <c r="C42" s="6" t="str">
        <f>VLOOKUP(A42,Insumos,3)</f>
        <v>kg</v>
      </c>
      <c r="D42" s="60">
        <v>2.08</v>
      </c>
      <c r="E42" s="60">
        <f>VLOOKUP(A42,Insumos,4)</f>
        <v>0.5035</v>
      </c>
      <c r="F42" s="79">
        <f>(D42*E42)</f>
        <v>1.04728</v>
      </c>
    </row>
    <row r="43" spans="1:6" ht="12.75">
      <c r="A43" s="3" t="s">
        <v>292</v>
      </c>
      <c r="B43" s="4" t="str">
        <f>VLOOKUP(A43,Insumos,2)</f>
        <v>cemento Portland</v>
      </c>
      <c r="C43" s="6" t="str">
        <f>VLOOKUP(A43,Insumos,3)</f>
        <v>kg</v>
      </c>
      <c r="D43" s="60">
        <v>2.31</v>
      </c>
      <c r="E43" s="60">
        <f>VLOOKUP(A43,Insumos,4)</f>
        <v>0.4787</v>
      </c>
      <c r="F43" s="79">
        <f>(D43*E43)</f>
        <v>1.1057970000000001</v>
      </c>
    </row>
    <row r="44" spans="1:6" ht="12.75">
      <c r="A44" s="3" t="s">
        <v>301</v>
      </c>
      <c r="B44" s="4" t="str">
        <f>VLOOKUP(A44,Insumos,2)</f>
        <v>ladrillo hueco 6T  8x18x30</v>
      </c>
      <c r="C44" s="6" t="str">
        <f>VLOOKUP(A44,Insumos,3)</f>
        <v>u</v>
      </c>
      <c r="D44" s="60">
        <v>17</v>
      </c>
      <c r="E44" s="60">
        <f>VLOOKUP(A44,Insumos,4)</f>
        <v>1.0197</v>
      </c>
      <c r="F44" s="79">
        <f>(D44*E44)</f>
        <v>17.3349</v>
      </c>
    </row>
    <row r="45" spans="1:6" ht="12.75">
      <c r="A45" s="3" t="s">
        <v>294</v>
      </c>
      <c r="B45" s="4" t="str">
        <f>VLOOKUP(A45,Insumos,2)</f>
        <v>arena gruesa</v>
      </c>
      <c r="C45" s="6" t="str">
        <f>VLOOKUP(A45,Insumos,3)</f>
        <v>m3</v>
      </c>
      <c r="D45" s="60">
        <v>0.013</v>
      </c>
      <c r="E45" s="60">
        <f>VLOOKUP(A45,Insumos,4)</f>
        <v>51</v>
      </c>
      <c r="F45" s="79">
        <f>(D45*E45)</f>
        <v>0.6629999999999999</v>
      </c>
    </row>
    <row r="46" spans="1:6" ht="12.75">
      <c r="A46" s="94" t="s">
        <v>1074</v>
      </c>
      <c r="D46" s="60"/>
      <c r="E46" s="60"/>
      <c r="F46" s="79"/>
    </row>
    <row r="47" spans="1:6" ht="12.75">
      <c r="A47" s="3" t="s">
        <v>289</v>
      </c>
      <c r="B47" s="4" t="str">
        <f>VLOOKUP(A47,Insumos,2)</f>
        <v>cuadrilla tipo UOCRA</v>
      </c>
      <c r="C47" s="6" t="str">
        <f>VLOOKUP(A47,Insumos,3)</f>
        <v>h</v>
      </c>
      <c r="D47" s="60">
        <v>1.1</v>
      </c>
      <c r="E47" s="60">
        <f>VLOOKUP(A47,Insumos,4)</f>
        <v>21.86</v>
      </c>
      <c r="F47" s="79">
        <f>(D47*E47)</f>
        <v>24.046000000000003</v>
      </c>
    </row>
    <row r="48" spans="1:6" ht="12.75">
      <c r="A48" s="94" t="s">
        <v>1075</v>
      </c>
      <c r="D48" s="60"/>
      <c r="E48" s="60"/>
      <c r="F48" s="79"/>
    </row>
    <row r="49" spans="1:6" ht="12.75">
      <c r="A49" s="3" t="s">
        <v>295</v>
      </c>
      <c r="B49" s="4" t="str">
        <f>VLOOKUP(A49,Insumos,2)</f>
        <v>canasta 2 (mixer 5m3)</v>
      </c>
      <c r="C49" s="6" t="str">
        <f>VLOOKUP(A49,Insumos,3)</f>
        <v>h</v>
      </c>
      <c r="D49" s="60">
        <v>0.001</v>
      </c>
      <c r="E49" s="60">
        <f>VLOOKUP(A49,Insumos,4)</f>
        <v>262.81</v>
      </c>
      <c r="F49" s="79">
        <f>(D49*E49)</f>
        <v>0.26281</v>
      </c>
    </row>
    <row r="50" spans="4:6" ht="13.5" thickBot="1">
      <c r="D50" s="60"/>
      <c r="E50" s="60"/>
      <c r="F50" s="79"/>
    </row>
    <row r="51" spans="1:7" ht="13.5" thickTop="1">
      <c r="A51" s="87" t="s">
        <v>1069</v>
      </c>
      <c r="B51" s="8" t="s">
        <v>490</v>
      </c>
      <c r="C51" s="89" t="str">
        <f>Fecha</f>
        <v>JUN/10</v>
      </c>
      <c r="D51" s="57"/>
      <c r="E51" s="57"/>
      <c r="F51" s="77">
        <f>SUM(F53:F61)</f>
        <v>56.67204</v>
      </c>
      <c r="G51" s="50"/>
    </row>
    <row r="52" spans="1:7" ht="13.5" thickBot="1">
      <c r="A52" s="7" t="s">
        <v>1068</v>
      </c>
      <c r="B52" s="7" t="s">
        <v>350</v>
      </c>
      <c r="C52" s="90" t="s">
        <v>1067</v>
      </c>
      <c r="D52" s="58" t="s">
        <v>487</v>
      </c>
      <c r="E52" s="59"/>
      <c r="F52" s="78"/>
      <c r="G52" s="51" t="s">
        <v>602</v>
      </c>
    </row>
    <row r="53" spans="1:6" ht="13.5" thickTop="1">
      <c r="A53" s="94" t="s">
        <v>1073</v>
      </c>
      <c r="D53" s="60"/>
      <c r="E53" s="60"/>
      <c r="F53" s="79"/>
    </row>
    <row r="54" spans="1:6" ht="12.75">
      <c r="A54" s="3" t="s">
        <v>299</v>
      </c>
      <c r="B54" s="4" t="str">
        <f>VLOOKUP(A54,Insumos,2)</f>
        <v>cal hidratada en bolsa</v>
      </c>
      <c r="C54" s="6" t="str">
        <f>VLOOKUP(A54,Insumos,3)</f>
        <v>kg</v>
      </c>
      <c r="D54" s="60">
        <v>2.89</v>
      </c>
      <c r="E54" s="60">
        <f>VLOOKUP(A54,Insumos,4)</f>
        <v>0.5035</v>
      </c>
      <c r="F54" s="79">
        <f>(D54*E54)</f>
        <v>1.455115</v>
      </c>
    </row>
    <row r="55" spans="1:6" ht="12.75">
      <c r="A55" s="3" t="s">
        <v>292</v>
      </c>
      <c r="B55" s="4" t="str">
        <f>VLOOKUP(A55,Insumos,2)</f>
        <v>cemento Portland</v>
      </c>
      <c r="C55" s="6" t="str">
        <f>VLOOKUP(A55,Insumos,3)</f>
        <v>kg</v>
      </c>
      <c r="D55" s="60">
        <v>3.3</v>
      </c>
      <c r="E55" s="60">
        <f>VLOOKUP(A55,Insumos,4)</f>
        <v>0.4787</v>
      </c>
      <c r="F55" s="79">
        <f>(D55*E55)</f>
        <v>1.57971</v>
      </c>
    </row>
    <row r="56" spans="1:6" ht="12.75">
      <c r="A56" s="3" t="s">
        <v>759</v>
      </c>
      <c r="B56" s="4" t="str">
        <f>VLOOKUP(A56,Insumos,2)</f>
        <v>ladrillo hueco 8T  12x18x30</v>
      </c>
      <c r="C56" s="6" t="str">
        <f>VLOOKUP(A56,Insumos,3)</f>
        <v>u</v>
      </c>
      <c r="D56" s="60">
        <v>17</v>
      </c>
      <c r="E56" s="60">
        <f>VLOOKUP(A56,Insumos,4)</f>
        <v>1.339</v>
      </c>
      <c r="F56" s="79">
        <f>(D56*E56)</f>
        <v>22.762999999999998</v>
      </c>
    </row>
    <row r="57" spans="1:6" ht="12.75">
      <c r="A57" s="3" t="s">
        <v>294</v>
      </c>
      <c r="B57" s="4" t="str">
        <f>VLOOKUP(A57,Insumos,2)</f>
        <v>arena gruesa</v>
      </c>
      <c r="C57" s="6" t="str">
        <f>VLOOKUP(A57,Insumos,3)</f>
        <v>m3</v>
      </c>
      <c r="D57" s="60">
        <v>0.019</v>
      </c>
      <c r="E57" s="60">
        <f>VLOOKUP(A57,Insumos,4)</f>
        <v>51</v>
      </c>
      <c r="F57" s="79">
        <f>(D57*E57)</f>
        <v>0.969</v>
      </c>
    </row>
    <row r="58" spans="1:6" ht="12.75">
      <c r="A58" s="94" t="s">
        <v>1074</v>
      </c>
      <c r="D58" s="60"/>
      <c r="E58" s="60"/>
      <c r="F58" s="79"/>
    </row>
    <row r="59" spans="1:6" ht="12.75">
      <c r="A59" s="3" t="s">
        <v>289</v>
      </c>
      <c r="B59" s="4" t="str">
        <f>VLOOKUP(A59,Insumos,2)</f>
        <v>cuadrilla tipo UOCRA</v>
      </c>
      <c r="C59" s="6" t="str">
        <f>VLOOKUP(A59,Insumos,3)</f>
        <v>h</v>
      </c>
      <c r="D59" s="60">
        <v>1.35</v>
      </c>
      <c r="E59" s="60">
        <f>VLOOKUP(A59,Insumos,4)</f>
        <v>21.86</v>
      </c>
      <c r="F59" s="79">
        <f>(D59*E59)</f>
        <v>29.511000000000003</v>
      </c>
    </row>
    <row r="60" spans="1:6" ht="12.75">
      <c r="A60" s="94" t="s">
        <v>1075</v>
      </c>
      <c r="D60" s="60"/>
      <c r="E60" s="60"/>
      <c r="F60" s="79"/>
    </row>
    <row r="61" spans="1:6" ht="12.75">
      <c r="A61" s="3" t="s">
        <v>295</v>
      </c>
      <c r="B61" s="4" t="str">
        <f>VLOOKUP(A61,Insumos,2)</f>
        <v>canasta 2 (mixer 5m3)</v>
      </c>
      <c r="C61" s="6" t="str">
        <f>VLOOKUP(A61,Insumos,3)</f>
        <v>h</v>
      </c>
      <c r="D61" s="60">
        <v>0.0015</v>
      </c>
      <c r="E61" s="60">
        <f>VLOOKUP(A61,Insumos,4)</f>
        <v>262.81</v>
      </c>
      <c r="F61" s="79">
        <f>(D61*E61)</f>
        <v>0.39421500000000004</v>
      </c>
    </row>
    <row r="62" spans="4:6" ht="13.5" thickBot="1">
      <c r="D62" s="60"/>
      <c r="E62" s="60"/>
      <c r="F62" s="79"/>
    </row>
    <row r="63" spans="1:7" ht="13.5" thickTop="1">
      <c r="A63" s="87" t="s">
        <v>1069</v>
      </c>
      <c r="B63" s="8" t="s">
        <v>491</v>
      </c>
      <c r="C63" s="89" t="str">
        <f>Fecha</f>
        <v>JUN/10</v>
      </c>
      <c r="D63" s="57"/>
      <c r="E63" s="57"/>
      <c r="F63" s="77">
        <f>SUM(F65:F73)</f>
        <v>68.42360000000001</v>
      </c>
      <c r="G63" s="50"/>
    </row>
    <row r="64" spans="1:7" ht="13.5" thickBot="1">
      <c r="A64" s="7" t="s">
        <v>1068</v>
      </c>
      <c r="B64" s="7" t="s">
        <v>350</v>
      </c>
      <c r="C64" s="90" t="s">
        <v>1067</v>
      </c>
      <c r="D64" s="58" t="s">
        <v>488</v>
      </c>
      <c r="E64" s="59"/>
      <c r="F64" s="78"/>
      <c r="G64" s="51" t="s">
        <v>602</v>
      </c>
    </row>
    <row r="65" spans="1:6" ht="13.5" thickTop="1">
      <c r="A65" s="94" t="s">
        <v>1073</v>
      </c>
      <c r="D65" s="60"/>
      <c r="E65" s="60"/>
      <c r="F65" s="79"/>
    </row>
    <row r="66" spans="1:6" ht="12.75">
      <c r="A66" s="3" t="s">
        <v>299</v>
      </c>
      <c r="B66" s="4" t="str">
        <f>VLOOKUP(A66,Insumos,2)</f>
        <v>cal hidratada en bolsa</v>
      </c>
      <c r="C66" s="6" t="str">
        <f>VLOOKUP(A66,Insumos,3)</f>
        <v>kg</v>
      </c>
      <c r="D66" s="60">
        <v>4.2</v>
      </c>
      <c r="E66" s="60">
        <f>VLOOKUP(A66,Insumos,4)</f>
        <v>0.5035</v>
      </c>
      <c r="F66" s="79">
        <f>(D66*E66)</f>
        <v>2.1147</v>
      </c>
    </row>
    <row r="67" spans="1:6" ht="12.75">
      <c r="A67" s="3" t="s">
        <v>292</v>
      </c>
      <c r="B67" s="4" t="str">
        <f>VLOOKUP(A67,Insumos,2)</f>
        <v>cemento Portland</v>
      </c>
      <c r="C67" s="6" t="str">
        <f>VLOOKUP(A67,Insumos,3)</f>
        <v>kg</v>
      </c>
      <c r="D67" s="60">
        <v>2.4</v>
      </c>
      <c r="E67" s="60">
        <f>VLOOKUP(A67,Insumos,4)</f>
        <v>0.4787</v>
      </c>
      <c r="F67" s="79">
        <f>(D67*E67)</f>
        <v>1.14888</v>
      </c>
    </row>
    <row r="68" spans="1:6" ht="12.75">
      <c r="A68" s="3" t="s">
        <v>489</v>
      </c>
      <c r="B68" s="4" t="str">
        <f>VLOOKUP(A68,Insumos,2)</f>
        <v>ladrillo hueco 9T 18x18x30</v>
      </c>
      <c r="C68" s="6" t="str">
        <f>VLOOKUP(A68,Insumos,3)</f>
        <v>u</v>
      </c>
      <c r="D68" s="60">
        <v>17</v>
      </c>
      <c r="E68" s="60">
        <f>VLOOKUP(A68,Insumos,4)</f>
        <v>1.7922</v>
      </c>
      <c r="F68" s="79">
        <f>(D68*E68)</f>
        <v>30.4674</v>
      </c>
    </row>
    <row r="69" spans="1:6" ht="12.75">
      <c r="A69" s="3" t="s">
        <v>294</v>
      </c>
      <c r="B69" s="4" t="str">
        <f>VLOOKUP(A69,Insumos,2)</f>
        <v>arena gruesa</v>
      </c>
      <c r="C69" s="6" t="str">
        <f>VLOOKUP(A69,Insumos,3)</f>
        <v>m3</v>
      </c>
      <c r="D69" s="60">
        <v>0.027</v>
      </c>
      <c r="E69" s="60">
        <f>VLOOKUP(A69,Insumos,4)</f>
        <v>51</v>
      </c>
      <c r="F69" s="79">
        <f>(D69*E69)</f>
        <v>1.377</v>
      </c>
    </row>
    <row r="70" spans="1:6" ht="12.75">
      <c r="A70" s="94" t="s">
        <v>1074</v>
      </c>
      <c r="D70" s="60"/>
      <c r="E70" s="60"/>
      <c r="F70" s="79"/>
    </row>
    <row r="71" spans="1:6" ht="12.75">
      <c r="A71" s="3" t="s">
        <v>289</v>
      </c>
      <c r="B71" s="4" t="str">
        <f>VLOOKUP(A71,Insumos,2)</f>
        <v>cuadrilla tipo UOCRA</v>
      </c>
      <c r="C71" s="6" t="str">
        <f>VLOOKUP(A71,Insumos,3)</f>
        <v>h</v>
      </c>
      <c r="D71" s="60">
        <v>1.5</v>
      </c>
      <c r="E71" s="60">
        <f>VLOOKUP(A71,Insumos,4)</f>
        <v>21.86</v>
      </c>
      <c r="F71" s="79">
        <f>(D71*E71)</f>
        <v>32.79</v>
      </c>
    </row>
    <row r="72" spans="1:6" ht="12.75">
      <c r="A72" s="94" t="s">
        <v>1075</v>
      </c>
      <c r="D72" s="60"/>
      <c r="E72" s="60"/>
      <c r="F72" s="79"/>
    </row>
    <row r="73" spans="1:6" ht="12.75">
      <c r="A73" s="3" t="s">
        <v>295</v>
      </c>
      <c r="B73" s="4" t="str">
        <f>VLOOKUP(A73,Insumos,2)</f>
        <v>canasta 2 (mixer 5m3)</v>
      </c>
      <c r="C73" s="6" t="str">
        <f>VLOOKUP(A73,Insumos,3)</f>
        <v>h</v>
      </c>
      <c r="D73" s="60">
        <v>0.002</v>
      </c>
      <c r="E73" s="60">
        <f>VLOOKUP(A73,Insumos,4)</f>
        <v>262.81</v>
      </c>
      <c r="F73" s="79">
        <f>(D73*E73)</f>
        <v>0.52562</v>
      </c>
    </row>
    <row r="74" spans="1:6" ht="13.5" thickBot="1">
      <c r="A74" s="3"/>
      <c r="B74" s="4"/>
      <c r="C74" s="6"/>
      <c r="D74" s="60"/>
      <c r="E74" s="60"/>
      <c r="F74" s="79"/>
    </row>
    <row r="75" spans="1:7" ht="13.5" thickTop="1">
      <c r="A75" s="87" t="s">
        <v>1069</v>
      </c>
      <c r="B75" s="8" t="s">
        <v>535</v>
      </c>
      <c r="C75" s="89" t="str">
        <f>Fecha</f>
        <v>JUN/10</v>
      </c>
      <c r="D75" s="57"/>
      <c r="E75" s="57"/>
      <c r="F75" s="77">
        <f>SUM(F77:F85)</f>
        <v>69.10340000000001</v>
      </c>
      <c r="G75" s="50"/>
    </row>
    <row r="76" spans="1:7" ht="13.5" thickBot="1">
      <c r="A76" s="7" t="s">
        <v>1068</v>
      </c>
      <c r="B76" s="7" t="s">
        <v>350</v>
      </c>
      <c r="C76" s="90" t="s">
        <v>1067</v>
      </c>
      <c r="D76" s="58" t="s">
        <v>583</v>
      </c>
      <c r="E76" s="59"/>
      <c r="F76" s="78"/>
      <c r="G76" s="51" t="s">
        <v>602</v>
      </c>
    </row>
    <row r="77" spans="1:6" ht="13.5" thickTop="1">
      <c r="A77" s="94" t="s">
        <v>1073</v>
      </c>
      <c r="D77" s="60"/>
      <c r="E77" s="60"/>
      <c r="F77" s="79"/>
    </row>
    <row r="78" spans="1:6" ht="12.75">
      <c r="A78" s="3" t="s">
        <v>299</v>
      </c>
      <c r="B78" s="4" t="str">
        <f>VLOOKUP(A78,Insumos,2)</f>
        <v>cal hidratada en bolsa</v>
      </c>
      <c r="C78" s="6" t="str">
        <f>VLOOKUP(A78,Insumos,3)</f>
        <v>kg</v>
      </c>
      <c r="D78" s="60">
        <v>4.2</v>
      </c>
      <c r="E78" s="60">
        <f>VLOOKUP(A78,Insumos,4)</f>
        <v>0.5035</v>
      </c>
      <c r="F78" s="79">
        <f>(D78*E78)</f>
        <v>2.1147</v>
      </c>
    </row>
    <row r="79" spans="1:6" ht="12.75">
      <c r="A79" s="3" t="s">
        <v>292</v>
      </c>
      <c r="B79" s="4" t="str">
        <f>VLOOKUP(A79,Insumos,2)</f>
        <v>cemento Portland</v>
      </c>
      <c r="C79" s="6" t="str">
        <f>VLOOKUP(A79,Insumos,3)</f>
        <v>kg</v>
      </c>
      <c r="D79" s="60">
        <v>2.4</v>
      </c>
      <c r="E79" s="60">
        <f>VLOOKUP(A79,Insumos,4)</f>
        <v>0.4787</v>
      </c>
      <c r="F79" s="79">
        <f>(D79*E79)</f>
        <v>1.14888</v>
      </c>
    </row>
    <row r="80" spans="1:6" ht="12.75">
      <c r="A80" s="3" t="s">
        <v>536</v>
      </c>
      <c r="B80" s="4" t="str">
        <f>VLOOKUP(A80,Insumos,2)</f>
        <v>ladrillo hueco portante 18x 18x30</v>
      </c>
      <c r="C80" s="6" t="str">
        <f>VLOOKUP(A80,Insumos,3)</f>
        <v>u</v>
      </c>
      <c r="D80" s="60">
        <v>12</v>
      </c>
      <c r="E80" s="60">
        <f>VLOOKUP(A80,Insumos,4)</f>
        <v>2.5956</v>
      </c>
      <c r="F80" s="79">
        <f>(D80*E80)</f>
        <v>31.1472</v>
      </c>
    </row>
    <row r="81" spans="1:6" ht="12.75">
      <c r="A81" s="3" t="s">
        <v>294</v>
      </c>
      <c r="B81" s="4" t="str">
        <f>VLOOKUP(A81,Insumos,2)</f>
        <v>arena gruesa</v>
      </c>
      <c r="C81" s="6" t="str">
        <f>VLOOKUP(A81,Insumos,3)</f>
        <v>m3</v>
      </c>
      <c r="D81" s="60">
        <v>0.027</v>
      </c>
      <c r="E81" s="60">
        <f>VLOOKUP(A81,Insumos,4)</f>
        <v>51</v>
      </c>
      <c r="F81" s="79">
        <f>(D81*E81)</f>
        <v>1.377</v>
      </c>
    </row>
    <row r="82" spans="1:6" ht="12.75">
      <c r="A82" s="94" t="s">
        <v>1074</v>
      </c>
      <c r="D82" s="60"/>
      <c r="E82" s="60"/>
      <c r="F82" s="79"/>
    </row>
    <row r="83" spans="1:6" ht="12.75">
      <c r="A83" s="3" t="s">
        <v>289</v>
      </c>
      <c r="B83" s="4" t="str">
        <f>VLOOKUP(A83,Insumos,2)</f>
        <v>cuadrilla tipo UOCRA</v>
      </c>
      <c r="C83" s="6" t="str">
        <f>VLOOKUP(A83,Insumos,3)</f>
        <v>h</v>
      </c>
      <c r="D83" s="60">
        <v>1.5</v>
      </c>
      <c r="E83" s="60">
        <f>VLOOKUP(A83,Insumos,4)</f>
        <v>21.86</v>
      </c>
      <c r="F83" s="79">
        <f>(D83*E83)</f>
        <v>32.79</v>
      </c>
    </row>
    <row r="84" spans="1:6" ht="12.75">
      <c r="A84" s="94" t="s">
        <v>1075</v>
      </c>
      <c r="D84" s="60"/>
      <c r="E84" s="60"/>
      <c r="F84" s="79"/>
    </row>
    <row r="85" spans="1:6" ht="12.75">
      <c r="A85" s="3" t="s">
        <v>295</v>
      </c>
      <c r="B85" s="4" t="str">
        <f>VLOOKUP(A85,Insumos,2)</f>
        <v>canasta 2 (mixer 5m3)</v>
      </c>
      <c r="C85" s="6" t="str">
        <f>VLOOKUP(A85,Insumos,3)</f>
        <v>h</v>
      </c>
      <c r="D85" s="60">
        <v>0.002</v>
      </c>
      <c r="E85" s="60">
        <f>VLOOKUP(A85,Insumos,4)</f>
        <v>262.81</v>
      </c>
      <c r="F85" s="79">
        <f>(D85*E85)</f>
        <v>0.52562</v>
      </c>
    </row>
    <row r="86" spans="1:6" ht="13.5" thickBot="1">
      <c r="A86" s="3"/>
      <c r="B86" s="4"/>
      <c r="C86" s="6"/>
      <c r="D86" s="60"/>
      <c r="E86" s="60"/>
      <c r="F86" s="79"/>
    </row>
    <row r="87" spans="1:7" ht="13.5" thickTop="1">
      <c r="A87" s="87" t="s">
        <v>1069</v>
      </c>
      <c r="B87" s="8" t="s">
        <v>518</v>
      </c>
      <c r="C87" s="89" t="str">
        <f>Fecha</f>
        <v>JUN/10</v>
      </c>
      <c r="D87" s="57"/>
      <c r="E87" s="57"/>
      <c r="F87" s="77">
        <f>SUM(F89:F97)</f>
        <v>73.58079709999998</v>
      </c>
      <c r="G87" s="50"/>
    </row>
    <row r="88" spans="1:7" ht="13.5" thickBot="1">
      <c r="A88" s="7" t="s">
        <v>1068</v>
      </c>
      <c r="B88" s="7" t="s">
        <v>350</v>
      </c>
      <c r="C88" s="90" t="s">
        <v>1067</v>
      </c>
      <c r="D88" s="58" t="s">
        <v>514</v>
      </c>
      <c r="E88" s="59"/>
      <c r="F88" s="78"/>
      <c r="G88" s="51" t="s">
        <v>602</v>
      </c>
    </row>
    <row r="89" spans="1:6" ht="13.5" thickTop="1">
      <c r="A89" s="94" t="s">
        <v>1073</v>
      </c>
      <c r="D89" s="60"/>
      <c r="E89" s="60"/>
      <c r="F89" s="79"/>
    </row>
    <row r="90" spans="1:6" ht="12.75">
      <c r="A90" s="3" t="s">
        <v>299</v>
      </c>
      <c r="B90" s="4" t="str">
        <f>VLOOKUP(A90,Insumos,2)</f>
        <v>cal hidratada en bolsa</v>
      </c>
      <c r="C90" s="6" t="str">
        <f>VLOOKUP(A90,Insumos,3)</f>
        <v>kg</v>
      </c>
      <c r="D90" s="60">
        <v>2.015</v>
      </c>
      <c r="E90" s="60">
        <f>VLOOKUP(A90,Insumos,4)</f>
        <v>0.5035</v>
      </c>
      <c r="F90" s="79">
        <f>(D90*E90)</f>
        <v>1.0145525</v>
      </c>
    </row>
    <row r="91" spans="1:6" ht="12.75">
      <c r="A91" s="3" t="s">
        <v>292</v>
      </c>
      <c r="B91" s="4" t="str">
        <f>VLOOKUP(A91,Insumos,2)</f>
        <v>cemento Portland</v>
      </c>
      <c r="C91" s="6" t="str">
        <f>VLOOKUP(A91,Insumos,3)</f>
        <v>kg</v>
      </c>
      <c r="D91" s="60">
        <v>2.318</v>
      </c>
      <c r="E91" s="60">
        <f>VLOOKUP(A91,Insumos,4)</f>
        <v>0.4787</v>
      </c>
      <c r="F91" s="79">
        <f>(D91*E91)</f>
        <v>1.1096266000000001</v>
      </c>
    </row>
    <row r="92" spans="1:6" ht="12.75">
      <c r="A92" s="3" t="s">
        <v>302</v>
      </c>
      <c r="B92" s="4" t="str">
        <f>VLOOKUP(A92,Insumos,2)</f>
        <v>bloque de H° de 19 x 19 x 39</v>
      </c>
      <c r="C92" s="6" t="str">
        <f>VLOOKUP(A92,Insumos,3)</f>
        <v>u</v>
      </c>
      <c r="D92" s="60">
        <v>13</v>
      </c>
      <c r="E92" s="60">
        <f>VLOOKUP(A92,Insumos,4)</f>
        <v>2.5295</v>
      </c>
      <c r="F92" s="79">
        <f>(D92*E92)</f>
        <v>32.8835</v>
      </c>
    </row>
    <row r="93" spans="1:6" ht="12.75">
      <c r="A93" s="3" t="s">
        <v>294</v>
      </c>
      <c r="B93" s="4" t="str">
        <f>VLOOKUP(A93,Insumos,2)</f>
        <v>arena gruesa</v>
      </c>
      <c r="C93" s="6" t="str">
        <f>VLOOKUP(A93,Insumos,3)</f>
        <v>m3</v>
      </c>
      <c r="D93" s="60">
        <v>0.013</v>
      </c>
      <c r="E93" s="60">
        <f>VLOOKUP(A93,Insumos,4)</f>
        <v>51</v>
      </c>
      <c r="F93" s="79">
        <f>(D93*E93)</f>
        <v>0.6629999999999999</v>
      </c>
    </row>
    <row r="94" spans="1:6" ht="12.75">
      <c r="A94" s="94" t="s">
        <v>1074</v>
      </c>
      <c r="D94" s="60"/>
      <c r="E94" s="60"/>
      <c r="F94" s="79"/>
    </row>
    <row r="95" spans="1:6" ht="12.75">
      <c r="A95" s="3" t="s">
        <v>289</v>
      </c>
      <c r="B95" s="4" t="str">
        <f>VLOOKUP(A95,Insumos,2)</f>
        <v>cuadrilla tipo UOCRA</v>
      </c>
      <c r="C95" s="6" t="str">
        <f>VLOOKUP(A95,Insumos,3)</f>
        <v>h</v>
      </c>
      <c r="D95" s="60">
        <v>1.4</v>
      </c>
      <c r="E95" s="60">
        <f>VLOOKUP(A95,Insumos,4)</f>
        <v>21.86</v>
      </c>
      <c r="F95" s="79">
        <f>(D95*E95)</f>
        <v>30.603999999999996</v>
      </c>
    </row>
    <row r="96" spans="1:6" ht="12.75">
      <c r="A96" s="94" t="s">
        <v>1075</v>
      </c>
      <c r="D96" s="60"/>
      <c r="E96" s="60"/>
      <c r="F96" s="79"/>
    </row>
    <row r="97" spans="1:6" ht="12.75">
      <c r="A97" s="3" t="s">
        <v>295</v>
      </c>
      <c r="B97" s="4" t="str">
        <f>VLOOKUP(A97,Insumos,2)</f>
        <v>canasta 2 (mixer 5m3)</v>
      </c>
      <c r="C97" s="6" t="str">
        <f>VLOOKUP(A97,Insumos,3)</f>
        <v>h</v>
      </c>
      <c r="D97" s="60">
        <v>0.0278</v>
      </c>
      <c r="E97" s="60">
        <f>VLOOKUP(A97,Insumos,4)</f>
        <v>262.81</v>
      </c>
      <c r="F97" s="79">
        <f>(D97*E97)</f>
        <v>7.306118</v>
      </c>
    </row>
    <row r="98" ht="13.5" thickBot="1"/>
    <row r="99" spans="1:9" ht="13.5" thickTop="1">
      <c r="A99" s="87" t="s">
        <v>1069</v>
      </c>
      <c r="B99" s="8" t="s">
        <v>1100</v>
      </c>
      <c r="C99" s="89" t="str">
        <f>Fecha</f>
        <v>JUN/10</v>
      </c>
      <c r="D99" s="57" t="s">
        <v>563</v>
      </c>
      <c r="E99" s="57"/>
      <c r="F99" s="77">
        <f>SUM(F101:F110)</f>
        <v>648.975834</v>
      </c>
      <c r="G99" s="50"/>
      <c r="I99" s="1">
        <f>+vfor_0.18.26.F-107.778</f>
        <v>541.197834</v>
      </c>
    </row>
    <row r="100" spans="1:7" ht="13.5" thickBot="1">
      <c r="A100" s="7" t="s">
        <v>1068</v>
      </c>
      <c r="B100" s="7" t="s">
        <v>350</v>
      </c>
      <c r="C100" s="90" t="s">
        <v>1067</v>
      </c>
      <c r="D100" s="58" t="s">
        <v>1113</v>
      </c>
      <c r="E100" s="59"/>
      <c r="F100" s="78"/>
      <c r="G100" s="51" t="s">
        <v>652</v>
      </c>
    </row>
    <row r="101" spans="1:6" ht="13.5" thickTop="1">
      <c r="A101" s="94" t="s">
        <v>1073</v>
      </c>
      <c r="D101" s="60"/>
      <c r="E101" s="60"/>
      <c r="F101" s="79"/>
    </row>
    <row r="102" spans="1:6" ht="12.75">
      <c r="A102" s="3" t="s">
        <v>299</v>
      </c>
      <c r="B102" s="4" t="str">
        <f>VLOOKUP(A102,Insumos,2)</f>
        <v>cal hidratada en bolsa</v>
      </c>
      <c r="C102" s="6" t="str">
        <f>VLOOKUP(A102,Insumos,3)</f>
        <v>kg</v>
      </c>
      <c r="D102" s="60">
        <v>57.6</v>
      </c>
      <c r="E102" s="60">
        <f>VLOOKUP(A102,Insumos,4)</f>
        <v>0.5035</v>
      </c>
      <c r="F102" s="79">
        <f>(D102*E102)</f>
        <v>29.001599999999996</v>
      </c>
    </row>
    <row r="103" spans="1:6" ht="12.75">
      <c r="A103" s="3" t="s">
        <v>292</v>
      </c>
      <c r="B103" s="4" t="str">
        <f>VLOOKUP(A103,Insumos,2)</f>
        <v>cemento Portland</v>
      </c>
      <c r="C103" s="6" t="str">
        <f>VLOOKUP(A103,Insumos,3)</f>
        <v>kg</v>
      </c>
      <c r="D103" s="60">
        <f>34.2+25</f>
        <v>59.2</v>
      </c>
      <c r="E103" s="60">
        <f>VLOOKUP(A103,Insumos,4)</f>
        <v>0.4787</v>
      </c>
      <c r="F103" s="79">
        <f>(D103*E103)</f>
        <v>28.33904</v>
      </c>
    </row>
    <row r="104" spans="1:6" ht="12.75">
      <c r="A104" s="3" t="s">
        <v>291</v>
      </c>
      <c r="B104" s="4" t="str">
        <f>VLOOKUP(A104,Insumos,2)</f>
        <v>hierro mejorado de 10 mm.</v>
      </c>
      <c r="C104" s="6" t="str">
        <f>VLOOKUP(A104,Insumos,3)</f>
        <v>kg</v>
      </c>
      <c r="D104" s="60">
        <v>2.2</v>
      </c>
      <c r="E104" s="60">
        <f>VLOOKUP(A104,Insumos,4)</f>
        <v>4.1892</v>
      </c>
      <c r="F104" s="79">
        <f>(D104*E104)</f>
        <v>9.216239999999999</v>
      </c>
    </row>
    <row r="105" spans="1:6" ht="12.75">
      <c r="A105" s="3" t="s">
        <v>300</v>
      </c>
      <c r="B105" s="4" t="str">
        <f>VLOOKUP(A105,Insumos,2)</f>
        <v>ladrillo común de 1ra.calidad</v>
      </c>
      <c r="C105" s="6" t="str">
        <f>VLOOKUP(A105,Insumos,3)</f>
        <v>mil</v>
      </c>
      <c r="D105" s="60">
        <v>0.4</v>
      </c>
      <c r="E105" s="60">
        <f>VLOOKUP(A105,Insumos,4)</f>
        <v>550</v>
      </c>
      <c r="F105" s="79">
        <f>(D105*E105)</f>
        <v>220</v>
      </c>
    </row>
    <row r="106" spans="1:6" ht="12.75">
      <c r="A106" s="3" t="s">
        <v>294</v>
      </c>
      <c r="B106" s="4" t="str">
        <f>VLOOKUP(A106,Insumos,2)</f>
        <v>arena gruesa</v>
      </c>
      <c r="C106" s="6" t="str">
        <f>VLOOKUP(A106,Insumos,3)</f>
        <v>m3</v>
      </c>
      <c r="D106" s="60">
        <v>0.385</v>
      </c>
      <c r="E106" s="60">
        <f>VLOOKUP(A106,Insumos,4)</f>
        <v>51</v>
      </c>
      <c r="F106" s="79">
        <f>(D106*E106)</f>
        <v>19.635</v>
      </c>
    </row>
    <row r="107" spans="1:6" ht="12.75">
      <c r="A107" s="94" t="s">
        <v>1074</v>
      </c>
      <c r="D107" s="60"/>
      <c r="E107" s="60"/>
      <c r="F107" s="79"/>
    </row>
    <row r="108" spans="1:6" ht="12.75">
      <c r="A108" s="3" t="s">
        <v>289</v>
      </c>
      <c r="B108" s="4" t="str">
        <f>VLOOKUP(A108,Insumos,2)</f>
        <v>cuadrilla tipo UOCRA</v>
      </c>
      <c r="C108" s="6" t="str">
        <f>VLOOKUP(A108,Insumos,3)</f>
        <v>h</v>
      </c>
      <c r="D108" s="60">
        <f>13.64+2</f>
        <v>15.64</v>
      </c>
      <c r="E108" s="60">
        <f>VLOOKUP(A108,Insumos,4)</f>
        <v>21.86</v>
      </c>
      <c r="F108" s="79">
        <f>(D108*E108)</f>
        <v>341.8904</v>
      </c>
    </row>
    <row r="109" spans="1:6" ht="12.75">
      <c r="A109" s="94" t="s">
        <v>1075</v>
      </c>
      <c r="D109" s="60"/>
      <c r="E109" s="60"/>
      <c r="F109" s="79"/>
    </row>
    <row r="110" spans="1:6" ht="12.75">
      <c r="A110" s="3" t="s">
        <v>295</v>
      </c>
      <c r="B110" s="4" t="str">
        <f>VLOOKUP(A110,Insumos,2)</f>
        <v>canasta 2 (mixer 5m3)</v>
      </c>
      <c r="C110" s="6" t="str">
        <f>VLOOKUP(A110,Insumos,3)</f>
        <v>h</v>
      </c>
      <c r="D110" s="60">
        <v>0.0034</v>
      </c>
      <c r="E110" s="60">
        <f>VLOOKUP(A110,Insumos,4)</f>
        <v>262.81</v>
      </c>
      <c r="F110" s="79">
        <f>(D110*E110)</f>
        <v>0.893554</v>
      </c>
    </row>
    <row r="111" ht="13.5" thickBot="1"/>
    <row r="112" spans="1:7" ht="13.5" thickTop="1">
      <c r="A112" s="87" t="s">
        <v>1069</v>
      </c>
      <c r="B112" s="8" t="s">
        <v>1114</v>
      </c>
      <c r="C112" s="89" t="str">
        <f>Fecha</f>
        <v>JUN/10</v>
      </c>
      <c r="D112" s="57" t="s">
        <v>563</v>
      </c>
      <c r="E112" s="57"/>
      <c r="F112" s="77">
        <f>SUM(F114:F125)</f>
        <v>655.1668162</v>
      </c>
      <c r="G112" s="50"/>
    </row>
    <row r="113" spans="1:7" ht="13.5" thickBot="1">
      <c r="A113" s="7" t="s">
        <v>1068</v>
      </c>
      <c r="B113" s="7" t="s">
        <v>350</v>
      </c>
      <c r="C113" s="90" t="s">
        <v>1067</v>
      </c>
      <c r="D113" s="58" t="s">
        <v>1112</v>
      </c>
      <c r="E113" s="59"/>
      <c r="F113" s="78"/>
      <c r="G113" s="51" t="s">
        <v>652</v>
      </c>
    </row>
    <row r="114" spans="1:6" ht="13.5" thickTop="1">
      <c r="A114" s="94" t="s">
        <v>1073</v>
      </c>
      <c r="D114" s="60"/>
      <c r="E114" s="60"/>
      <c r="F114" s="79"/>
    </row>
    <row r="115" spans="1:6" ht="12.75">
      <c r="A115" s="2" t="s">
        <v>298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60">
        <f>0.434*1.3</f>
        <v>0.5642</v>
      </c>
      <c r="E115" s="60">
        <f aca="true" t="shared" si="2" ref="E115:E121">VLOOKUP(A115,Insumos,4)</f>
        <v>5.4545</v>
      </c>
      <c r="F115" s="79">
        <f aca="true" t="shared" si="3" ref="F115:F121">(D115*E115)</f>
        <v>3.0774289000000006</v>
      </c>
    </row>
    <row r="116" spans="1:6" ht="12.75">
      <c r="A116" s="2" t="s">
        <v>311</v>
      </c>
      <c r="B116" s="4" t="str">
        <f t="shared" si="0"/>
        <v>chapa H°G° N°27, 3.05 x 1.10 m.</v>
      </c>
      <c r="C116" s="6" t="str">
        <f t="shared" si="1"/>
        <v>u</v>
      </c>
      <c r="D116" s="60">
        <f>0.03*1.3</f>
        <v>0.039</v>
      </c>
      <c r="E116" s="60">
        <f t="shared" si="2"/>
        <v>79.8347</v>
      </c>
      <c r="F116" s="79">
        <f t="shared" si="3"/>
        <v>3.1135533</v>
      </c>
    </row>
    <row r="117" spans="1:6" ht="12.75">
      <c r="A117" s="3" t="s">
        <v>299</v>
      </c>
      <c r="B117" s="4" t="str">
        <f t="shared" si="0"/>
        <v>cal hidratada en bolsa</v>
      </c>
      <c r="C117" s="6" t="str">
        <f t="shared" si="1"/>
        <v>kg</v>
      </c>
      <c r="D117" s="60">
        <v>57.6</v>
      </c>
      <c r="E117" s="60">
        <f t="shared" si="2"/>
        <v>0.5035</v>
      </c>
      <c r="F117" s="79">
        <f t="shared" si="3"/>
        <v>29.001599999999996</v>
      </c>
    </row>
    <row r="118" spans="1:6" ht="12.75">
      <c r="A118" s="3" t="s">
        <v>292</v>
      </c>
      <c r="B118" s="4" t="str">
        <f t="shared" si="0"/>
        <v>cemento Portland</v>
      </c>
      <c r="C118" s="6" t="str">
        <f t="shared" si="1"/>
        <v>kg</v>
      </c>
      <c r="D118" s="60">
        <f>34.2+25</f>
        <v>59.2</v>
      </c>
      <c r="E118" s="60">
        <f t="shared" si="2"/>
        <v>0.4787</v>
      </c>
      <c r="F118" s="79">
        <f t="shared" si="3"/>
        <v>28.33904</v>
      </c>
    </row>
    <row r="119" spans="1:6" ht="12.75">
      <c r="A119" s="3" t="s">
        <v>291</v>
      </c>
      <c r="B119" s="4" t="str">
        <f t="shared" si="0"/>
        <v>hierro mejorado de 10 mm.</v>
      </c>
      <c r="C119" s="6" t="str">
        <f t="shared" si="1"/>
        <v>kg</v>
      </c>
      <c r="D119" s="60">
        <v>2.2</v>
      </c>
      <c r="E119" s="60">
        <f t="shared" si="2"/>
        <v>4.1892</v>
      </c>
      <c r="F119" s="79">
        <f t="shared" si="3"/>
        <v>9.216239999999999</v>
      </c>
    </row>
    <row r="120" spans="1:6" ht="12.75">
      <c r="A120" s="3" t="s">
        <v>300</v>
      </c>
      <c r="B120" s="4" t="str">
        <f t="shared" si="0"/>
        <v>ladrillo común de 1ra.calidad</v>
      </c>
      <c r="C120" s="6" t="str">
        <f t="shared" si="1"/>
        <v>mil</v>
      </c>
      <c r="D120" s="60">
        <v>0.4</v>
      </c>
      <c r="E120" s="60">
        <f t="shared" si="2"/>
        <v>550</v>
      </c>
      <c r="F120" s="79">
        <f t="shared" si="3"/>
        <v>220</v>
      </c>
    </row>
    <row r="121" spans="1:6" ht="12.75">
      <c r="A121" s="3" t="s">
        <v>294</v>
      </c>
      <c r="B121" s="4" t="str">
        <f t="shared" si="0"/>
        <v>arena gruesa</v>
      </c>
      <c r="C121" s="6" t="str">
        <f t="shared" si="1"/>
        <v>m3</v>
      </c>
      <c r="D121" s="60">
        <v>0.385</v>
      </c>
      <c r="E121" s="60">
        <f t="shared" si="2"/>
        <v>51</v>
      </c>
      <c r="F121" s="79">
        <f t="shared" si="3"/>
        <v>19.635</v>
      </c>
    </row>
    <row r="122" spans="1:6" ht="12.75">
      <c r="A122" s="94" t="s">
        <v>1074</v>
      </c>
      <c r="D122" s="60"/>
      <c r="E122" s="60"/>
      <c r="F122" s="79"/>
    </row>
    <row r="123" spans="1:6" ht="12.75">
      <c r="A123" s="3" t="s">
        <v>289</v>
      </c>
      <c r="B123" s="4" t="str">
        <f>VLOOKUP(A123,Insumos,2)</f>
        <v>cuadrilla tipo UOCRA</v>
      </c>
      <c r="C123" s="6" t="str">
        <f>VLOOKUP(A123,Insumos,3)</f>
        <v>h</v>
      </c>
      <c r="D123" s="60">
        <f>13.64+2</f>
        <v>15.64</v>
      </c>
      <c r="E123" s="60">
        <f>VLOOKUP(A123,Insumos,4)</f>
        <v>21.86</v>
      </c>
      <c r="F123" s="79">
        <f>(D123*E123)</f>
        <v>341.8904</v>
      </c>
    </row>
    <row r="124" spans="1:6" ht="12.75">
      <c r="A124" s="94" t="s">
        <v>1075</v>
      </c>
      <c r="D124" s="60"/>
      <c r="E124" s="60"/>
      <c r="F124" s="79"/>
    </row>
    <row r="125" spans="1:6" ht="12.75">
      <c r="A125" s="3" t="s">
        <v>295</v>
      </c>
      <c r="B125" s="4" t="str">
        <f>VLOOKUP(A125,Insumos,2)</f>
        <v>canasta 2 (mixer 5m3)</v>
      </c>
      <c r="C125" s="6" t="str">
        <f>VLOOKUP(A125,Insumos,3)</f>
        <v>h</v>
      </c>
      <c r="D125" s="60">
        <v>0.0034</v>
      </c>
      <c r="E125" s="60">
        <f>VLOOKUP(A125,Insumos,4)</f>
        <v>262.81</v>
      </c>
      <c r="F125" s="79">
        <f>(D125*E125)</f>
        <v>0.893554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workbookViewId="0" topLeftCell="A1">
      <selection activeCell="C1" sqref="C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1069</v>
      </c>
      <c r="B2" s="8" t="s">
        <v>493</v>
      </c>
      <c r="C2" s="89" t="str">
        <f>Fecha</f>
        <v>JUN/10</v>
      </c>
      <c r="D2" s="57"/>
      <c r="E2" s="57"/>
      <c r="F2" s="77">
        <f>SUM(F4:F13)</f>
        <v>23.8987126</v>
      </c>
      <c r="G2" s="50"/>
    </row>
    <row r="3" spans="1:7" ht="13.5" thickBot="1">
      <c r="A3" s="7" t="s">
        <v>1068</v>
      </c>
      <c r="B3" s="7" t="s">
        <v>351</v>
      </c>
      <c r="C3" s="90" t="s">
        <v>1067</v>
      </c>
      <c r="D3" s="58" t="s">
        <v>398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292</v>
      </c>
      <c r="B5" s="4" t="str">
        <f>VLOOKUP(A5,Insumos,2)</f>
        <v>cemento Portland</v>
      </c>
      <c r="C5" s="6" t="str">
        <f>VLOOKUP(A5,Insumos,3)</f>
        <v>kg</v>
      </c>
      <c r="D5" s="60">
        <f>+D8*500</f>
        <v>10</v>
      </c>
      <c r="E5" s="60">
        <f>VLOOKUP(A5,Insumos,4)</f>
        <v>0.4787</v>
      </c>
      <c r="F5" s="79">
        <f>(D5*E5)</f>
        <v>4.787</v>
      </c>
    </row>
    <row r="6" spans="1:6" ht="12.75">
      <c r="A6" s="3" t="s">
        <v>742</v>
      </c>
      <c r="B6" s="4" t="str">
        <f>VLOOKUP(A6,Insumos,2)</f>
        <v>plástico 100 micrones</v>
      </c>
      <c r="C6" s="6" t="str">
        <f>VLOOKUP(A6,Insumos,3)</f>
        <v>m2</v>
      </c>
      <c r="D6" s="60">
        <v>1.05</v>
      </c>
      <c r="E6" s="60">
        <f>VLOOKUP(A6,Insumos,4)</f>
        <v>1.4233</v>
      </c>
      <c r="F6" s="79">
        <f>(D6*E6)</f>
        <v>1.4944650000000002</v>
      </c>
    </row>
    <row r="7" spans="1:6" ht="12.75">
      <c r="A7" s="3" t="s">
        <v>700</v>
      </c>
      <c r="B7" s="4" t="str">
        <f>VLOOKUP(A7,Insumos,2)</f>
        <v>hidrófugo</v>
      </c>
      <c r="C7" s="6" t="str">
        <f>VLOOKUP(A7,Insumos,3)</f>
        <v>l</v>
      </c>
      <c r="D7" s="60">
        <v>0.25</v>
      </c>
      <c r="E7" s="60">
        <f>VLOOKUP(A7,Insumos,4)</f>
        <v>3.0679</v>
      </c>
      <c r="F7" s="79">
        <f>(D7*E7)</f>
        <v>0.766975</v>
      </c>
    </row>
    <row r="8" spans="1:6" ht="12.75">
      <c r="A8" s="3" t="s">
        <v>294</v>
      </c>
      <c r="B8" s="4" t="str">
        <f>VLOOKUP(A8,Insumos,2)</f>
        <v>arena gruesa</v>
      </c>
      <c r="C8" s="6" t="str">
        <f>VLOOKUP(A8,Insumos,3)</f>
        <v>m3</v>
      </c>
      <c r="D8" s="60">
        <v>0.02</v>
      </c>
      <c r="E8" s="60">
        <f>VLOOKUP(A8,Insumos,4)</f>
        <v>51</v>
      </c>
      <c r="F8" s="79">
        <f>(D8*E8)</f>
        <v>1.02</v>
      </c>
    </row>
    <row r="9" spans="1:6" ht="12.75">
      <c r="A9" s="3" t="s">
        <v>346</v>
      </c>
      <c r="B9" s="4" t="str">
        <f>VLOOKUP(A9,Insumos,2)</f>
        <v>pintura asfáltica secado rapido</v>
      </c>
      <c r="C9" s="6" t="str">
        <f>VLOOKUP(A9,Insumos,3)</f>
        <v>l</v>
      </c>
      <c r="D9" s="60">
        <v>0.25</v>
      </c>
      <c r="E9" s="60">
        <f>VLOOKUP(A9,Insumos,4)</f>
        <v>9.843</v>
      </c>
      <c r="F9" s="79">
        <f>(D9*E9)</f>
        <v>2.46075</v>
      </c>
    </row>
    <row r="10" spans="1:6" ht="12.75">
      <c r="A10" s="94" t="s">
        <v>1074</v>
      </c>
      <c r="D10" s="60"/>
      <c r="E10" s="60"/>
      <c r="F10" s="79"/>
    </row>
    <row r="11" spans="1:6" ht="12.75">
      <c r="A11" s="3" t="s">
        <v>289</v>
      </c>
      <c r="B11" s="4" t="str">
        <f>VLOOKUP(A11,Insumos,2)</f>
        <v>cuadrilla tipo UOCRA</v>
      </c>
      <c r="C11" s="6" t="str">
        <f>VLOOKUP(A11,Insumos,3)</f>
        <v>h</v>
      </c>
      <c r="D11" s="60">
        <v>0.57</v>
      </c>
      <c r="E11" s="60">
        <f>VLOOKUP(A11,Insumos,4)</f>
        <v>21.86</v>
      </c>
      <c r="F11" s="79">
        <f>(D11*E11)</f>
        <v>12.460199999999999</v>
      </c>
    </row>
    <row r="12" spans="1:6" ht="12.75">
      <c r="A12" s="94" t="s">
        <v>1075</v>
      </c>
      <c r="D12" s="60"/>
      <c r="E12" s="60"/>
      <c r="F12" s="79"/>
    </row>
    <row r="13" spans="1:6" ht="12.75">
      <c r="A13" s="3" t="s">
        <v>295</v>
      </c>
      <c r="B13" s="4" t="str">
        <f>VLOOKUP(A13,Insumos,2)</f>
        <v>canasta 2 (mixer 5m3)</v>
      </c>
      <c r="C13" s="6" t="str">
        <f>VLOOKUP(A13,Insumos,3)</f>
        <v>h</v>
      </c>
      <c r="D13" s="60">
        <v>0.00346</v>
      </c>
      <c r="E13" s="60">
        <f>VLOOKUP(A13,Insumos,4)</f>
        <v>262.81</v>
      </c>
      <c r="F13" s="79">
        <f>(D13*E13)</f>
        <v>0.9093226</v>
      </c>
    </row>
    <row r="14" spans="4:6" ht="12.75">
      <c r="D14" s="60"/>
      <c r="E14" s="60"/>
      <c r="F14" s="7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workbookViewId="0" topLeftCell="A1">
      <selection activeCell="H5" sqref="H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1069</v>
      </c>
      <c r="B2" s="8" t="s">
        <v>494</v>
      </c>
      <c r="C2" s="89" t="str">
        <f>Fecha</f>
        <v>JUN/10</v>
      </c>
      <c r="D2" s="57"/>
      <c r="E2" s="57"/>
      <c r="F2" s="77">
        <f>SUM(F4:F12)</f>
        <v>56.87780199999999</v>
      </c>
      <c r="G2" s="50"/>
    </row>
    <row r="3" spans="1:7" ht="13.5" thickBot="1">
      <c r="A3" s="7" t="s">
        <v>1068</v>
      </c>
      <c r="B3" s="7" t="s">
        <v>352</v>
      </c>
      <c r="C3" s="90" t="s">
        <v>1067</v>
      </c>
      <c r="D3" s="58" t="s">
        <v>399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299</v>
      </c>
      <c r="B5" s="4" t="str">
        <f>VLOOKUP(A5,Insumos,2)</f>
        <v>cal hidratada en bolsa</v>
      </c>
      <c r="C5" s="6" t="str">
        <f>VLOOKUP(A5,Insumos,3)</f>
        <v>kg</v>
      </c>
      <c r="D5" s="60">
        <v>3.1</v>
      </c>
      <c r="E5" s="60">
        <f>VLOOKUP(A5,Insumos,4)</f>
        <v>0.5035</v>
      </c>
      <c r="F5" s="79">
        <f>(D5*E5)</f>
        <v>1.5608499999999998</v>
      </c>
    </row>
    <row r="6" spans="1:6" ht="12.75">
      <c r="A6" s="3" t="s">
        <v>292</v>
      </c>
      <c r="B6" s="4" t="str">
        <f>VLOOKUP(A6,Insumos,2)</f>
        <v>cemento Portland</v>
      </c>
      <c r="C6" s="6" t="str">
        <f>VLOOKUP(A6,Insumos,3)</f>
        <v>kg</v>
      </c>
      <c r="D6" s="60">
        <v>4.85</v>
      </c>
      <c r="E6" s="60">
        <f>VLOOKUP(A6,Insumos,4)</f>
        <v>0.4787</v>
      </c>
      <c r="F6" s="79">
        <f>(D6*E6)</f>
        <v>2.321695</v>
      </c>
    </row>
    <row r="7" spans="1:6" ht="12.75">
      <c r="A7" s="3" t="s">
        <v>700</v>
      </c>
      <c r="B7" s="4" t="str">
        <f>VLOOKUP(A7,Insumos,2)</f>
        <v>hidrófugo</v>
      </c>
      <c r="C7" s="6" t="str">
        <f>VLOOKUP(A7,Insumos,3)</f>
        <v>l</v>
      </c>
      <c r="D7" s="60">
        <v>0.13</v>
      </c>
      <c r="E7" s="60">
        <f>VLOOKUP(A7,Insumos,4)</f>
        <v>3.0679</v>
      </c>
      <c r="F7" s="79">
        <f>(D7*E7)</f>
        <v>0.398827</v>
      </c>
    </row>
    <row r="8" spans="1:6" ht="12.75">
      <c r="A8" s="3" t="s">
        <v>294</v>
      </c>
      <c r="B8" s="4" t="str">
        <f>VLOOKUP(A8,Insumos,2)</f>
        <v>arena gruesa</v>
      </c>
      <c r="C8" s="6" t="str">
        <f>VLOOKUP(A8,Insumos,3)</f>
        <v>m3</v>
      </c>
      <c r="D8" s="60">
        <v>0.03</v>
      </c>
      <c r="E8" s="60">
        <f>VLOOKUP(A8,Insumos,4)</f>
        <v>51</v>
      </c>
      <c r="F8" s="79">
        <f>(D8*E8)</f>
        <v>1.53</v>
      </c>
    </row>
    <row r="9" spans="1:6" ht="12.75">
      <c r="A9" s="94" t="s">
        <v>1074</v>
      </c>
      <c r="D9" s="60"/>
      <c r="E9" s="60"/>
      <c r="F9" s="79"/>
    </row>
    <row r="10" spans="1:6" ht="12.75">
      <c r="A10" s="3" t="s">
        <v>289</v>
      </c>
      <c r="B10" s="4" t="str">
        <f>VLOOKUP(A10,Insumos,2)</f>
        <v>cuadrilla tipo UOCRA</v>
      </c>
      <c r="C10" s="6" t="str">
        <f>VLOOKUP(A10,Insumos,3)</f>
        <v>h</v>
      </c>
      <c r="D10" s="60">
        <v>2.3</v>
      </c>
      <c r="E10" s="60">
        <f>VLOOKUP(A10,Insumos,4)</f>
        <v>21.86</v>
      </c>
      <c r="F10" s="79">
        <f>(D10*E10)</f>
        <v>50.27799999999999</v>
      </c>
    </row>
    <row r="11" spans="1:6" ht="12.75">
      <c r="A11" s="94" t="s">
        <v>1075</v>
      </c>
      <c r="D11" s="60"/>
      <c r="E11" s="60"/>
      <c r="F11" s="79"/>
    </row>
    <row r="12" spans="1:6" ht="12.75">
      <c r="A12" s="3" t="s">
        <v>295</v>
      </c>
      <c r="B12" s="4" t="str">
        <f>VLOOKUP(A12,Insumos,2)</f>
        <v>canasta 2 (mixer 5m3)</v>
      </c>
      <c r="C12" s="6" t="str">
        <f>VLOOKUP(A12,Insumos,3)</f>
        <v>h</v>
      </c>
      <c r="D12" s="60">
        <v>0.003</v>
      </c>
      <c r="E12" s="60">
        <f>VLOOKUP(A12,Insumos,4)</f>
        <v>262.81</v>
      </c>
      <c r="F12" s="79">
        <f>(D12*E12)</f>
        <v>0.7884300000000001</v>
      </c>
    </row>
    <row r="13" spans="4:6" ht="13.5" thickBot="1">
      <c r="D13" s="60"/>
      <c r="E13" s="60"/>
      <c r="F13" s="79"/>
    </row>
    <row r="14" spans="1:7" ht="13.5" thickTop="1">
      <c r="A14" s="87" t="s">
        <v>1069</v>
      </c>
      <c r="B14" s="8" t="s">
        <v>708</v>
      </c>
      <c r="C14" s="89" t="str">
        <f>Fecha</f>
        <v>JUN/10</v>
      </c>
      <c r="D14" s="57"/>
      <c r="E14" s="57"/>
      <c r="F14" s="77">
        <f>SUM(F17:F24)</f>
        <v>31.421417</v>
      </c>
      <c r="G14" s="50"/>
    </row>
    <row r="15" spans="1:7" ht="13.5" thickBot="1">
      <c r="A15" s="7" t="s">
        <v>1068</v>
      </c>
      <c r="B15" s="7" t="s">
        <v>352</v>
      </c>
      <c r="C15" s="90" t="s">
        <v>1067</v>
      </c>
      <c r="D15" s="58" t="s">
        <v>400</v>
      </c>
      <c r="E15" s="59"/>
      <c r="F15" s="78"/>
      <c r="G15" s="51" t="s">
        <v>602</v>
      </c>
    </row>
    <row r="16" spans="4:6" ht="13.5" thickTop="1">
      <c r="D16" s="60"/>
      <c r="E16" s="60"/>
      <c r="F16" s="79"/>
    </row>
    <row r="17" spans="1:6" ht="12.75">
      <c r="A17" s="94" t="s">
        <v>1073</v>
      </c>
      <c r="D17" s="60"/>
      <c r="E17" s="60"/>
      <c r="F17" s="79"/>
    </row>
    <row r="18" spans="1:6" ht="12.75">
      <c r="A18" s="3" t="s">
        <v>299</v>
      </c>
      <c r="B18" s="4" t="str">
        <f>VLOOKUP(A18,Insumos,2)</f>
        <v>cal hidratada en bolsa</v>
      </c>
      <c r="C18" s="6" t="str">
        <f>VLOOKUP(A18,Insumos,3)</f>
        <v>kg</v>
      </c>
      <c r="D18" s="60">
        <v>3.1</v>
      </c>
      <c r="E18" s="60">
        <f>VLOOKUP(A18,Insumos,4)</f>
        <v>0.5035</v>
      </c>
      <c r="F18" s="79">
        <f>(D18*E18)</f>
        <v>1.5608499999999998</v>
      </c>
    </row>
    <row r="19" spans="1:6" ht="12.75">
      <c r="A19" s="3" t="s">
        <v>292</v>
      </c>
      <c r="B19" s="4" t="str">
        <f>VLOOKUP(A19,Insumos,2)</f>
        <v>cemento Portland</v>
      </c>
      <c r="C19" s="6" t="str">
        <f>VLOOKUP(A19,Insumos,3)</f>
        <v>kg</v>
      </c>
      <c r="D19" s="60">
        <v>1.7</v>
      </c>
      <c r="E19" s="60">
        <f>VLOOKUP(A19,Insumos,4)</f>
        <v>0.4787</v>
      </c>
      <c r="F19" s="79">
        <f>(D19*E19)</f>
        <v>0.81379</v>
      </c>
    </row>
    <row r="20" spans="1:6" ht="12.75">
      <c r="A20" s="3" t="s">
        <v>294</v>
      </c>
      <c r="B20" s="4" t="str">
        <f>VLOOKUP(A20,Insumos,2)</f>
        <v>arena gruesa</v>
      </c>
      <c r="C20" s="6" t="str">
        <f>VLOOKUP(A20,Insumos,3)</f>
        <v>m3</v>
      </c>
      <c r="D20" s="60">
        <v>0.025</v>
      </c>
      <c r="E20" s="60">
        <f>VLOOKUP(A20,Insumos,4)</f>
        <v>51</v>
      </c>
      <c r="F20" s="79">
        <f>(D20*E20)</f>
        <v>1.2750000000000001</v>
      </c>
    </row>
    <row r="21" spans="1:6" ht="12.75">
      <c r="A21" s="94" t="s">
        <v>1074</v>
      </c>
      <c r="D21" s="60"/>
      <c r="E21" s="60"/>
      <c r="F21" s="79"/>
    </row>
    <row r="22" spans="1:6" ht="12.75">
      <c r="A22" s="3" t="s">
        <v>289</v>
      </c>
      <c r="B22" s="4" t="str">
        <f>VLOOKUP(A22,Insumos,2)</f>
        <v>cuadrilla tipo UOCRA</v>
      </c>
      <c r="C22" s="6" t="str">
        <f>VLOOKUP(A22,Insumos,3)</f>
        <v>h</v>
      </c>
      <c r="D22" s="60">
        <v>1.25</v>
      </c>
      <c r="E22" s="60">
        <f>VLOOKUP(A22,Insumos,4)</f>
        <v>21.86</v>
      </c>
      <c r="F22" s="79">
        <f>(D22*E22)</f>
        <v>27.325</v>
      </c>
    </row>
    <row r="23" spans="1:6" ht="12.75">
      <c r="A23" s="94" t="s">
        <v>1075</v>
      </c>
      <c r="D23" s="60"/>
      <c r="E23" s="60"/>
      <c r="F23" s="79"/>
    </row>
    <row r="24" spans="1:6" ht="12.75">
      <c r="A24" s="3" t="s">
        <v>295</v>
      </c>
      <c r="B24" s="4" t="str">
        <f>VLOOKUP(A24,Insumos,2)</f>
        <v>canasta 2 (mixer 5m3)</v>
      </c>
      <c r="C24" s="6" t="str">
        <f>VLOOKUP(A24,Insumos,3)</f>
        <v>h</v>
      </c>
      <c r="D24" s="60">
        <v>0.0017</v>
      </c>
      <c r="E24" s="60">
        <f>VLOOKUP(A24,Insumos,4)</f>
        <v>262.81</v>
      </c>
      <c r="F24" s="79">
        <f>(D24*E24)</f>
        <v>0.446777</v>
      </c>
    </row>
    <row r="25" spans="4:6" ht="13.5" thickBot="1">
      <c r="D25" s="60"/>
      <c r="E25" s="60"/>
      <c r="F25" s="79"/>
    </row>
    <row r="26" spans="1:7" ht="13.5" thickTop="1">
      <c r="A26" s="87" t="s">
        <v>1069</v>
      </c>
      <c r="B26" s="8" t="s">
        <v>495</v>
      </c>
      <c r="C26" s="89" t="str">
        <f>Fecha</f>
        <v>JUN/10</v>
      </c>
      <c r="D26" s="57"/>
      <c r="E26" s="57"/>
      <c r="F26" s="77">
        <f>SUM(F28:F36)</f>
        <v>29.302003000000003</v>
      </c>
      <c r="G26" s="50"/>
    </row>
    <row r="27" spans="1:7" ht="13.5" thickBot="1">
      <c r="A27" s="7" t="s">
        <v>1068</v>
      </c>
      <c r="B27" s="7" t="s">
        <v>352</v>
      </c>
      <c r="C27" s="90" t="s">
        <v>1067</v>
      </c>
      <c r="D27" s="58" t="s">
        <v>557</v>
      </c>
      <c r="E27" s="59"/>
      <c r="F27" s="78"/>
      <c r="G27" s="51" t="s">
        <v>602</v>
      </c>
    </row>
    <row r="28" spans="1:6" ht="13.5" thickTop="1">
      <c r="A28" s="94" t="s">
        <v>1073</v>
      </c>
      <c r="D28" s="60"/>
      <c r="E28" s="60"/>
      <c r="F28" s="79"/>
    </row>
    <row r="29" spans="1:6" ht="12.75">
      <c r="A29" s="3" t="s">
        <v>299</v>
      </c>
      <c r="B29" s="4" t="str">
        <f>VLOOKUP(A29,Insumos,2)</f>
        <v>cal hidratada en bolsa</v>
      </c>
      <c r="C29" s="6" t="str">
        <f>VLOOKUP(A29,Insumos,3)</f>
        <v>kg</v>
      </c>
      <c r="D29" s="60">
        <v>2.4</v>
      </c>
      <c r="E29" s="60">
        <f>VLOOKUP(A29,Insumos,4)</f>
        <v>0.5035</v>
      </c>
      <c r="F29" s="79">
        <f>(D29*E29)</f>
        <v>1.2084</v>
      </c>
    </row>
    <row r="30" spans="1:6" ht="12.75">
      <c r="A30" s="3" t="s">
        <v>700</v>
      </c>
      <c r="B30" s="4" t="str">
        <f>VLOOKUP(A30,Insumos,2)</f>
        <v>hidrófugo</v>
      </c>
      <c r="C30" s="6" t="str">
        <f>VLOOKUP(A30,Insumos,3)</f>
        <v>l</v>
      </c>
      <c r="D30" s="60">
        <v>0.13</v>
      </c>
      <c r="E30" s="60">
        <f>VLOOKUP(A30,Insumos,4)</f>
        <v>3.0679</v>
      </c>
      <c r="F30" s="79">
        <f>(D30*E30)</f>
        <v>0.398827</v>
      </c>
    </row>
    <row r="31" spans="1:6" ht="12.75">
      <c r="A31" s="3" t="s">
        <v>292</v>
      </c>
      <c r="B31" s="4" t="str">
        <f>VLOOKUP(A31,Insumos,2)</f>
        <v>cemento Portland</v>
      </c>
      <c r="C31" s="6" t="str">
        <f>VLOOKUP(A31,Insumos,3)</f>
        <v>kg</v>
      </c>
      <c r="D31" s="60">
        <v>4.4</v>
      </c>
      <c r="E31" s="60">
        <f>VLOOKUP(A31,Insumos,4)</f>
        <v>0.4787</v>
      </c>
      <c r="F31" s="79">
        <f>(D31*E31)</f>
        <v>2.1062800000000004</v>
      </c>
    </row>
    <row r="32" spans="1:6" ht="12.75">
      <c r="A32" s="3" t="s">
        <v>294</v>
      </c>
      <c r="B32" s="4" t="str">
        <f>VLOOKUP(A32,Insumos,2)</f>
        <v>arena gruesa</v>
      </c>
      <c r="C32" s="6" t="str">
        <f>VLOOKUP(A32,Insumos,3)</f>
        <v>m3</v>
      </c>
      <c r="D32" s="60">
        <v>0.022</v>
      </c>
      <c r="E32" s="60">
        <f>VLOOKUP(A32,Insumos,4)</f>
        <v>51</v>
      </c>
      <c r="F32" s="79">
        <f>(D32*E32)</f>
        <v>1.1219999999999999</v>
      </c>
    </row>
    <row r="33" spans="1:6" ht="12.75">
      <c r="A33" s="94" t="s">
        <v>1074</v>
      </c>
      <c r="D33" s="60"/>
      <c r="E33" s="60"/>
      <c r="F33" s="79"/>
    </row>
    <row r="34" spans="1:6" ht="12.75">
      <c r="A34" s="3" t="s">
        <v>289</v>
      </c>
      <c r="B34" s="4" t="str">
        <f>VLOOKUP(A34,Insumos,2)</f>
        <v>cuadrilla tipo UOCRA</v>
      </c>
      <c r="C34" s="6" t="str">
        <f>VLOOKUP(A34,Insumos,3)</f>
        <v>h</v>
      </c>
      <c r="D34" s="60">
        <v>1.1</v>
      </c>
      <c r="E34" s="60">
        <f>VLOOKUP(A34,Insumos,4)</f>
        <v>21.86</v>
      </c>
      <c r="F34" s="79">
        <f>(D34*E34)</f>
        <v>24.046000000000003</v>
      </c>
    </row>
    <row r="35" spans="1:6" ht="12.75">
      <c r="A35" s="94" t="s">
        <v>1075</v>
      </c>
      <c r="D35" s="60"/>
      <c r="E35" s="60"/>
      <c r="F35" s="79"/>
    </row>
    <row r="36" spans="1:6" ht="12.75">
      <c r="A36" s="3" t="s">
        <v>295</v>
      </c>
      <c r="B36" s="4" t="str">
        <f>VLOOKUP(A36,Insumos,2)</f>
        <v>canasta 2 (mixer 5m3)</v>
      </c>
      <c r="C36" s="6" t="str">
        <f>VLOOKUP(A36,Insumos,3)</f>
        <v>h</v>
      </c>
      <c r="D36" s="60">
        <v>0.0016</v>
      </c>
      <c r="E36" s="60">
        <f>VLOOKUP(A36,Insumos,4)</f>
        <v>262.81</v>
      </c>
      <c r="F36" s="79">
        <f>(D36*E36)</f>
        <v>0.42049600000000004</v>
      </c>
    </row>
    <row r="37" spans="4:6" ht="13.5" thickBot="1">
      <c r="D37" s="60"/>
      <c r="E37" s="60"/>
      <c r="F37" s="79"/>
    </row>
    <row r="38" spans="1:7" ht="13.5" thickTop="1">
      <c r="A38" s="87" t="s">
        <v>1069</v>
      </c>
      <c r="B38" s="8" t="s">
        <v>707</v>
      </c>
      <c r="C38" s="89" t="str">
        <f>Fecha</f>
        <v>JUN/10</v>
      </c>
      <c r="D38" s="57"/>
      <c r="E38" s="57"/>
      <c r="F38" s="77">
        <f>SUM(F40:F48)</f>
        <v>50.62328</v>
      </c>
      <c r="G38" s="50"/>
    </row>
    <row r="39" spans="1:7" ht="13.5" thickBot="1">
      <c r="A39" s="7" t="s">
        <v>1068</v>
      </c>
      <c r="B39" s="7" t="s">
        <v>352</v>
      </c>
      <c r="C39" s="90" t="s">
        <v>1067</v>
      </c>
      <c r="D39" s="58" t="s">
        <v>401</v>
      </c>
      <c r="E39" s="59"/>
      <c r="F39" s="78"/>
      <c r="G39" s="51" t="s">
        <v>602</v>
      </c>
    </row>
    <row r="40" spans="1:6" ht="13.5" thickTop="1">
      <c r="A40" s="94" t="s">
        <v>1073</v>
      </c>
      <c r="D40" s="60"/>
      <c r="E40" s="60"/>
      <c r="F40" s="79"/>
    </row>
    <row r="41" spans="1:6" ht="12.75">
      <c r="A41" s="3" t="s">
        <v>299</v>
      </c>
      <c r="B41" s="4" t="str">
        <f>VLOOKUP(A41,Insumos,2)</f>
        <v>cal hidratada en bolsa</v>
      </c>
      <c r="C41" s="6" t="str">
        <f>VLOOKUP(A41,Insumos,3)</f>
        <v>kg</v>
      </c>
      <c r="D41" s="60">
        <v>1.1</v>
      </c>
      <c r="E41" s="60">
        <f>VLOOKUP(A41,Insumos,4)</f>
        <v>0.5035</v>
      </c>
      <c r="F41" s="79">
        <f>(D41*E41)</f>
        <v>0.55385</v>
      </c>
    </row>
    <row r="42" spans="1:6" ht="12.75">
      <c r="A42" s="3" t="s">
        <v>292</v>
      </c>
      <c r="B42" s="4" t="str">
        <f>VLOOKUP(A42,Insumos,2)</f>
        <v>cemento Portland</v>
      </c>
      <c r="C42" s="6" t="str">
        <f>VLOOKUP(A42,Insumos,3)</f>
        <v>kg</v>
      </c>
      <c r="D42" s="60">
        <v>4</v>
      </c>
      <c r="E42" s="60">
        <f>VLOOKUP(A42,Insumos,4)</f>
        <v>0.4787</v>
      </c>
      <c r="F42" s="79">
        <f>(D42*E42)</f>
        <v>1.9148</v>
      </c>
    </row>
    <row r="43" spans="1:6" ht="12.75">
      <c r="A43" s="3" t="s">
        <v>294</v>
      </c>
      <c r="B43" s="4" t="str">
        <f>VLOOKUP(A43,Insumos,2)</f>
        <v>arena gruesa</v>
      </c>
      <c r="C43" s="6" t="str">
        <f>VLOOKUP(A43,Insumos,3)</f>
        <v>m3</v>
      </c>
      <c r="D43" s="60">
        <v>0.006</v>
      </c>
      <c r="E43" s="60">
        <f>VLOOKUP(A43,Insumos,4)</f>
        <v>51</v>
      </c>
      <c r="F43" s="79">
        <f>(D43*E43)</f>
        <v>0.306</v>
      </c>
    </row>
    <row r="44" spans="1:6" ht="12.75">
      <c r="A44" s="3" t="s">
        <v>303</v>
      </c>
      <c r="B44" s="4" t="str">
        <f>VLOOKUP(A44,Insumos,2)</f>
        <v>yeso blanco</v>
      </c>
      <c r="C44" s="6" t="str">
        <f>VLOOKUP(A44,Insumos,3)</f>
        <v>kg</v>
      </c>
      <c r="D44" s="60">
        <v>18</v>
      </c>
      <c r="E44" s="60">
        <f>VLOOKUP(A44,Insumos,4)</f>
        <v>1.0964</v>
      </c>
      <c r="F44" s="79">
        <f>(D44*E44)</f>
        <v>19.7352</v>
      </c>
    </row>
    <row r="45" spans="1:6" ht="12.75">
      <c r="A45" s="94" t="s">
        <v>1074</v>
      </c>
      <c r="D45" s="60"/>
      <c r="E45" s="60"/>
      <c r="F45" s="79"/>
    </row>
    <row r="46" spans="1:6" ht="12.75">
      <c r="A46" s="3" t="s">
        <v>289</v>
      </c>
      <c r="B46" s="4" t="str">
        <f>VLOOKUP(A46,Insumos,2)</f>
        <v>cuadrilla tipo UOCRA</v>
      </c>
      <c r="C46" s="6" t="str">
        <f>VLOOKUP(A46,Insumos,3)</f>
        <v>h</v>
      </c>
      <c r="D46" s="60">
        <v>1.25</v>
      </c>
      <c r="E46" s="60">
        <f>VLOOKUP(A46,Insumos,4)</f>
        <v>21.86</v>
      </c>
      <c r="F46" s="79">
        <f>(D46*E46)</f>
        <v>27.325</v>
      </c>
    </row>
    <row r="47" spans="1:6" ht="12.75">
      <c r="A47" s="94" t="s">
        <v>1075</v>
      </c>
      <c r="D47" s="60"/>
      <c r="E47" s="60"/>
      <c r="F47" s="79"/>
    </row>
    <row r="48" spans="1:6" ht="12.75">
      <c r="A48" s="3" t="s">
        <v>295</v>
      </c>
      <c r="B48" s="4" t="str">
        <f>VLOOKUP(A48,Insumos,2)</f>
        <v>canasta 2 (mixer 5m3)</v>
      </c>
      <c r="C48" s="6" t="str">
        <f>VLOOKUP(A48,Insumos,3)</f>
        <v>h</v>
      </c>
      <c r="D48" s="60">
        <v>0.003</v>
      </c>
      <c r="E48" s="60">
        <f>VLOOKUP(A48,Insumos,4)</f>
        <v>262.81</v>
      </c>
      <c r="F48" s="79">
        <f>(D48*E48)</f>
        <v>0.7884300000000001</v>
      </c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workbookViewId="0" topLeftCell="A91">
      <selection activeCell="E87" sqref="E8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1069</v>
      </c>
      <c r="B2" s="8" t="s">
        <v>353</v>
      </c>
      <c r="C2" s="89" t="str">
        <f>Fecha</f>
        <v>JUN/10</v>
      </c>
      <c r="D2" s="57"/>
      <c r="E2" s="57"/>
      <c r="F2" s="77">
        <f>SUM(F4:F11)</f>
        <v>29.040409999999994</v>
      </c>
      <c r="G2" s="50"/>
    </row>
    <row r="3" spans="1:7" ht="13.5" thickBot="1">
      <c r="A3" s="7" t="s">
        <v>1068</v>
      </c>
      <c r="B3" s="7" t="s">
        <v>354</v>
      </c>
      <c r="C3" s="90" t="s">
        <v>1067</v>
      </c>
      <c r="D3" s="58" t="s">
        <v>402</v>
      </c>
      <c r="E3" s="59"/>
      <c r="F3" s="78"/>
      <c r="G3" s="51" t="s">
        <v>602</v>
      </c>
    </row>
    <row r="4" spans="1:6" ht="13.5" thickTop="1">
      <c r="A4" s="94" t="s">
        <v>1073</v>
      </c>
      <c r="D4" s="60"/>
      <c r="E4" s="60"/>
      <c r="F4" s="79"/>
    </row>
    <row r="5" spans="1:6" ht="12.75">
      <c r="A5" s="3" t="s">
        <v>299</v>
      </c>
      <c r="B5" s="4" t="str">
        <f>VLOOKUP(A5,Insumos,2)</f>
        <v>cal hidratada en bolsa</v>
      </c>
      <c r="C5" s="6" t="str">
        <f>VLOOKUP(A5,Insumos,3)</f>
        <v>kg</v>
      </c>
      <c r="D5" s="60">
        <v>7</v>
      </c>
      <c r="E5" s="60">
        <f>VLOOKUP(A5,Insumos,4)</f>
        <v>0.5035</v>
      </c>
      <c r="F5" s="79">
        <f>(D5*E5)</f>
        <v>3.5244999999999997</v>
      </c>
    </row>
    <row r="6" spans="1:6" ht="12.75">
      <c r="A6" s="3" t="s">
        <v>292</v>
      </c>
      <c r="B6" s="4" t="str">
        <f>VLOOKUP(A6,Insumos,2)</f>
        <v>cemento Portland</v>
      </c>
      <c r="C6" s="6" t="str">
        <f>VLOOKUP(A6,Insumos,3)</f>
        <v>kg</v>
      </c>
      <c r="D6" s="60">
        <v>4.1</v>
      </c>
      <c r="E6" s="60">
        <f>VLOOKUP(A6,Insumos,4)</f>
        <v>0.4787</v>
      </c>
      <c r="F6" s="79">
        <f>(D6*E6)</f>
        <v>1.96267</v>
      </c>
    </row>
    <row r="7" spans="1:6" ht="12.75">
      <c r="A7" s="3" t="s">
        <v>304</v>
      </c>
      <c r="B7" s="4" t="str">
        <f>VLOOKUP(A7,Insumos,2)</f>
        <v>ripiosa</v>
      </c>
      <c r="C7" s="6" t="str">
        <f>VLOOKUP(A7,Insumos,3)</f>
        <v>m3</v>
      </c>
      <c r="D7" s="60">
        <v>0.15</v>
      </c>
      <c r="E7" s="60">
        <f>VLOOKUP(A7,Insumos,4)</f>
        <v>48</v>
      </c>
      <c r="F7" s="79">
        <f>(D7*E7)</f>
        <v>7.199999999999999</v>
      </c>
    </row>
    <row r="8" spans="1:6" ht="12.75">
      <c r="A8" s="94" t="s">
        <v>1074</v>
      </c>
      <c r="D8" s="60"/>
      <c r="E8" s="60"/>
      <c r="F8" s="79"/>
    </row>
    <row r="9" spans="1:6" ht="12.75">
      <c r="A9" s="3" t="s">
        <v>289</v>
      </c>
      <c r="B9" s="4" t="str">
        <f>VLOOKUP(A9,Insumos,2)</f>
        <v>cuadrilla tipo UOCRA</v>
      </c>
      <c r="C9" s="6" t="str">
        <f>VLOOKUP(A9,Insumos,3)</f>
        <v>h</v>
      </c>
      <c r="D9" s="60">
        <v>0.7</v>
      </c>
      <c r="E9" s="60">
        <f>VLOOKUP(A9,Insumos,4)</f>
        <v>21.86</v>
      </c>
      <c r="F9" s="79">
        <f>(D9*E9)</f>
        <v>15.301999999999998</v>
      </c>
    </row>
    <row r="10" spans="1:6" ht="12.75">
      <c r="A10" s="94" t="s">
        <v>1075</v>
      </c>
      <c r="D10" s="60"/>
      <c r="E10" s="60"/>
      <c r="F10" s="79"/>
    </row>
    <row r="11" spans="1:6" ht="12.75">
      <c r="A11" s="3" t="s">
        <v>295</v>
      </c>
      <c r="B11" s="4" t="str">
        <f>VLOOKUP(A11,Insumos,2)</f>
        <v>canasta 2 (mixer 5m3)</v>
      </c>
      <c r="C11" s="6" t="str">
        <f>VLOOKUP(A11,Insumos,3)</f>
        <v>h</v>
      </c>
      <c r="D11" s="60">
        <v>0.004</v>
      </c>
      <c r="E11" s="60">
        <f>VLOOKUP(A11,Insumos,4)</f>
        <v>262.81</v>
      </c>
      <c r="F11" s="79">
        <f>(D11*E11)</f>
        <v>1.05124</v>
      </c>
    </row>
    <row r="12" spans="4:6" ht="13.5" thickBot="1">
      <c r="D12" s="60"/>
      <c r="E12" s="60"/>
      <c r="F12" s="79"/>
    </row>
    <row r="13" spans="1:7" ht="13.5" thickTop="1">
      <c r="A13" s="87" t="s">
        <v>1069</v>
      </c>
      <c r="B13" s="8" t="s">
        <v>355</v>
      </c>
      <c r="C13" s="89" t="str">
        <f>Fecha</f>
        <v>JUN/10</v>
      </c>
      <c r="D13" s="57"/>
      <c r="E13" s="57"/>
      <c r="F13" s="77">
        <f>SUM(F15:F22)</f>
        <v>13.956014999999999</v>
      </c>
      <c r="G13" s="50"/>
    </row>
    <row r="14" spans="1:7" ht="13.5" thickBot="1">
      <c r="A14" s="7" t="s">
        <v>1068</v>
      </c>
      <c r="B14" s="7" t="s">
        <v>354</v>
      </c>
      <c r="C14" s="90" t="s">
        <v>1067</v>
      </c>
      <c r="D14" s="58" t="s">
        <v>1051</v>
      </c>
      <c r="E14" s="59"/>
      <c r="F14" s="78"/>
      <c r="G14" s="51" t="s">
        <v>602</v>
      </c>
    </row>
    <row r="15" spans="1:6" ht="13.5" thickTop="1">
      <c r="A15" s="94" t="s">
        <v>1073</v>
      </c>
      <c r="D15" s="60"/>
      <c r="E15" s="60"/>
      <c r="F15" s="79"/>
    </row>
    <row r="16" spans="1:6" ht="12.75">
      <c r="A16" s="3" t="s">
        <v>299</v>
      </c>
      <c r="B16" s="4" t="str">
        <f>VLOOKUP(A16,Insumos,2)</f>
        <v>cal hidratada en bolsa</v>
      </c>
      <c r="C16" s="6" t="str">
        <f>VLOOKUP(A16,Insumos,3)</f>
        <v>kg</v>
      </c>
      <c r="D16" s="60">
        <v>3.5</v>
      </c>
      <c r="E16" s="60">
        <f>VLOOKUP(A16,Insumos,4)</f>
        <v>0.5035</v>
      </c>
      <c r="F16" s="79">
        <f>(D16*E16)</f>
        <v>1.7622499999999999</v>
      </c>
    </row>
    <row r="17" spans="1:6" ht="12.75">
      <c r="A17" s="3" t="s">
        <v>292</v>
      </c>
      <c r="B17" s="4" t="str">
        <f>VLOOKUP(A17,Insumos,2)</f>
        <v>cemento Portland</v>
      </c>
      <c r="C17" s="6" t="str">
        <f>VLOOKUP(A17,Insumos,3)</f>
        <v>kg</v>
      </c>
      <c r="D17" s="60">
        <v>2.05</v>
      </c>
      <c r="E17" s="60">
        <f>VLOOKUP(A17,Insumos,4)</f>
        <v>0.4787</v>
      </c>
      <c r="F17" s="79">
        <f>(D17*E17)</f>
        <v>0.981335</v>
      </c>
    </row>
    <row r="18" spans="1:6" ht="12.75">
      <c r="A18" s="3" t="s">
        <v>304</v>
      </c>
      <c r="B18" s="4" t="str">
        <f>VLOOKUP(A18,Insumos,2)</f>
        <v>ripiosa</v>
      </c>
      <c r="C18" s="6" t="str">
        <f>VLOOKUP(A18,Insumos,3)</f>
        <v>m3</v>
      </c>
      <c r="D18" s="60">
        <v>0.035</v>
      </c>
      <c r="E18" s="60">
        <f>VLOOKUP(A18,Insumos,4)</f>
        <v>48</v>
      </c>
      <c r="F18" s="79">
        <f>(D18*E18)</f>
        <v>1.6800000000000002</v>
      </c>
    </row>
    <row r="19" spans="1:6" ht="12.75">
      <c r="A19" s="94" t="s">
        <v>1074</v>
      </c>
      <c r="D19" s="60"/>
      <c r="E19" s="60"/>
      <c r="F19" s="79"/>
    </row>
    <row r="20" spans="1:6" ht="12.75">
      <c r="A20" s="3" t="s">
        <v>289</v>
      </c>
      <c r="B20" s="4" t="str">
        <f>VLOOKUP(A20,Insumos,2)</f>
        <v>cuadrilla tipo UOCRA</v>
      </c>
      <c r="C20" s="6" t="str">
        <f>VLOOKUP(A20,Insumos,3)</f>
        <v>h</v>
      </c>
      <c r="D20" s="60">
        <v>0.4</v>
      </c>
      <c r="E20" s="60">
        <f>VLOOKUP(A20,Insumos,4)</f>
        <v>21.86</v>
      </c>
      <c r="F20" s="79">
        <f>(D20*E20)</f>
        <v>8.744</v>
      </c>
    </row>
    <row r="21" spans="1:6" ht="12.75">
      <c r="A21" s="94" t="s">
        <v>1075</v>
      </c>
      <c r="D21" s="60"/>
      <c r="E21" s="60"/>
      <c r="F21" s="79"/>
    </row>
    <row r="22" spans="1:6" ht="12.75">
      <c r="A22" s="3" t="s">
        <v>295</v>
      </c>
      <c r="B22" s="4" t="str">
        <f>VLOOKUP(A22,Insumos,2)</f>
        <v>canasta 2 (mixer 5m3)</v>
      </c>
      <c r="C22" s="6" t="str">
        <f>VLOOKUP(A22,Insumos,3)</f>
        <v>h</v>
      </c>
      <c r="D22" s="60">
        <v>0.003</v>
      </c>
      <c r="E22" s="60">
        <f>VLOOKUP(A22,Insumos,4)</f>
        <v>262.81</v>
      </c>
      <c r="F22" s="79">
        <f>(D22*E22)</f>
        <v>0.7884300000000001</v>
      </c>
    </row>
    <row r="23" spans="1:6" ht="13.5" thickBot="1">
      <c r="A23" s="3"/>
      <c r="B23" s="4"/>
      <c r="C23" s="6"/>
      <c r="D23" s="60"/>
      <c r="E23" s="60"/>
      <c r="F23" s="79"/>
    </row>
    <row r="24" spans="1:7" ht="13.5" thickTop="1">
      <c r="A24" s="87" t="s">
        <v>1069</v>
      </c>
      <c r="B24" s="8" t="s">
        <v>356</v>
      </c>
      <c r="C24" s="89" t="str">
        <f>Fecha</f>
        <v>JUN/10</v>
      </c>
      <c r="D24" s="57"/>
      <c r="E24" s="57"/>
      <c r="F24" s="77">
        <f>SUM(F26:F34)</f>
        <v>112.45745799999999</v>
      </c>
      <c r="G24" s="50"/>
    </row>
    <row r="25" spans="1:7" ht="13.5" thickBot="1">
      <c r="A25" s="7" t="s">
        <v>1068</v>
      </c>
      <c r="B25" s="7" t="s">
        <v>354</v>
      </c>
      <c r="C25" s="90" t="s">
        <v>1067</v>
      </c>
      <c r="D25" s="58" t="s">
        <v>547</v>
      </c>
      <c r="E25" s="59"/>
      <c r="F25" s="78"/>
      <c r="G25" s="51" t="s">
        <v>602</v>
      </c>
    </row>
    <row r="26" spans="1:6" ht="13.5" thickTop="1">
      <c r="A26" s="94" t="s">
        <v>1073</v>
      </c>
      <c r="D26" s="60"/>
      <c r="E26" s="60"/>
      <c r="F26" s="79"/>
    </row>
    <row r="27" spans="1:6" ht="12.75">
      <c r="A27" s="3" t="s">
        <v>299</v>
      </c>
      <c r="B27" s="4" t="str">
        <f>VLOOKUP(A27,Insumos,2)</f>
        <v>cal hidratada en bolsa</v>
      </c>
      <c r="C27" s="6" t="str">
        <f>VLOOKUP(A27,Insumos,3)</f>
        <v>kg</v>
      </c>
      <c r="D27" s="60">
        <v>5</v>
      </c>
      <c r="E27" s="60">
        <f>VLOOKUP(A27,Insumos,4)</f>
        <v>0.5035</v>
      </c>
      <c r="F27" s="79">
        <f>(D27*E27)</f>
        <v>2.5174999999999996</v>
      </c>
    </row>
    <row r="28" spans="1:6" ht="12.75">
      <c r="A28" s="3" t="s">
        <v>292</v>
      </c>
      <c r="B28" s="4" t="str">
        <f>VLOOKUP(A28,Insumos,2)</f>
        <v>cemento Portland</v>
      </c>
      <c r="C28" s="6" t="str">
        <f>VLOOKUP(A28,Insumos,3)</f>
        <v>kg</v>
      </c>
      <c r="D28" s="60">
        <v>5.84</v>
      </c>
      <c r="E28" s="60">
        <f>VLOOKUP(A28,Insumos,4)</f>
        <v>0.4787</v>
      </c>
      <c r="F28" s="79">
        <f>(D28*E28)</f>
        <v>2.795608</v>
      </c>
    </row>
    <row r="29" spans="1:6" ht="12.75">
      <c r="A29" s="3" t="s">
        <v>294</v>
      </c>
      <c r="B29" s="4" t="str">
        <f>VLOOKUP(A29,Insumos,2)</f>
        <v>arena gruesa</v>
      </c>
      <c r="C29" s="6" t="str">
        <f>VLOOKUP(A29,Insumos,3)</f>
        <v>m3</v>
      </c>
      <c r="D29" s="60">
        <v>0.03</v>
      </c>
      <c r="E29" s="60">
        <f>VLOOKUP(A29,Insumos,4)</f>
        <v>51</v>
      </c>
      <c r="F29" s="79">
        <f>(D29*E29)</f>
        <v>1.53</v>
      </c>
    </row>
    <row r="30" spans="1:6" ht="12.75">
      <c r="A30" s="3" t="s">
        <v>548</v>
      </c>
      <c r="B30" s="4" t="str">
        <f>VLOOKUP(A30,'IN-06-10'!$A$5:$D$440,2)</f>
        <v>mosaico granítico 30x30</v>
      </c>
      <c r="C30" s="4" t="str">
        <f>VLOOKUP(A30,'IN-06-10'!$A$5:$D$440,3)</f>
        <v>m2</v>
      </c>
      <c r="D30" s="60">
        <v>1.26</v>
      </c>
      <c r="E30" s="4">
        <f>VLOOKUP(A30,'IN-06-10'!$A$5:$D$440,4)</f>
        <v>36.7769</v>
      </c>
      <c r="F30" s="79">
        <f>(D30*E30)</f>
        <v>46.338893999999996</v>
      </c>
    </row>
    <row r="31" spans="1:6" ht="12.75">
      <c r="A31" s="94" t="s">
        <v>1074</v>
      </c>
      <c r="D31" s="60"/>
      <c r="E31" s="60"/>
      <c r="F31" s="79"/>
    </row>
    <row r="32" spans="1:6" ht="12.75">
      <c r="A32" s="3" t="s">
        <v>289</v>
      </c>
      <c r="B32" s="4" t="str">
        <f>VLOOKUP(A32,Insumos,2)</f>
        <v>cuadrilla tipo UOCRA</v>
      </c>
      <c r="C32" s="6" t="str">
        <f>VLOOKUP(A32,Insumos,3)</f>
        <v>h</v>
      </c>
      <c r="D32" s="60">
        <v>2.5</v>
      </c>
      <c r="E32" s="60">
        <f>VLOOKUP(A32,Insumos,4)</f>
        <v>21.86</v>
      </c>
      <c r="F32" s="79">
        <f>(D32*E32)</f>
        <v>54.65</v>
      </c>
    </row>
    <row r="33" spans="1:6" ht="12.75">
      <c r="A33" s="94" t="s">
        <v>1075</v>
      </c>
      <c r="D33" s="60"/>
      <c r="E33" s="60"/>
      <c r="F33" s="79"/>
    </row>
    <row r="34" spans="1:6" ht="12.75">
      <c r="A34" s="3" t="s">
        <v>295</v>
      </c>
      <c r="B34" s="4" t="str">
        <f>VLOOKUP(A34,Insumos,2)</f>
        <v>canasta 2 (mixer 5m3)</v>
      </c>
      <c r="C34" s="6" t="str">
        <f>VLOOKUP(A34,Insumos,3)</f>
        <v>h</v>
      </c>
      <c r="D34" s="60">
        <v>0.0176</v>
      </c>
      <c r="E34" s="60">
        <f>VLOOKUP(A34,Insumos,4)</f>
        <v>262.81</v>
      </c>
      <c r="F34" s="79">
        <f>(D34*E34)</f>
        <v>4.625456000000001</v>
      </c>
    </row>
    <row r="35" spans="4:6" ht="13.5" thickBot="1">
      <c r="D35" s="60"/>
      <c r="E35" s="60"/>
      <c r="F35" s="79"/>
    </row>
    <row r="36" spans="1:7" ht="13.5" thickTop="1">
      <c r="A36" s="87" t="s">
        <v>1069</v>
      </c>
      <c r="B36" s="8" t="s">
        <v>357</v>
      </c>
      <c r="C36" s="89" t="str">
        <f>Fecha</f>
        <v>JUN/10</v>
      </c>
      <c r="D36" s="57"/>
      <c r="E36" s="57"/>
      <c r="F36" s="77">
        <f>SUM(F38:F46)</f>
        <v>78.6963712</v>
      </c>
      <c r="G36" s="50"/>
    </row>
    <row r="37" spans="1:7" ht="13.5" thickBot="1">
      <c r="A37" s="7" t="s">
        <v>1068</v>
      </c>
      <c r="B37" s="7" t="s">
        <v>354</v>
      </c>
      <c r="C37" s="90" t="s">
        <v>1067</v>
      </c>
      <c r="D37" s="58" t="s">
        <v>403</v>
      </c>
      <c r="E37" s="59"/>
      <c r="F37" s="78"/>
      <c r="G37" s="51" t="s">
        <v>602</v>
      </c>
    </row>
    <row r="38" spans="1:6" ht="13.5" thickTop="1">
      <c r="A38" s="94" t="s">
        <v>1073</v>
      </c>
      <c r="D38" s="60"/>
      <c r="E38" s="60"/>
      <c r="F38" s="79"/>
    </row>
    <row r="39" spans="1:6" ht="12.75">
      <c r="A39" s="3" t="s">
        <v>299</v>
      </c>
      <c r="B39" s="4" t="str">
        <f>VLOOKUP(A39,Insumos,2)</f>
        <v>cal hidratada en bolsa</v>
      </c>
      <c r="C39" s="6" t="str">
        <f>VLOOKUP(A39,Insumos,3)</f>
        <v>kg</v>
      </c>
      <c r="D39" s="60">
        <v>5</v>
      </c>
      <c r="E39" s="60">
        <f>VLOOKUP(A39,Insumos,4)</f>
        <v>0.5035</v>
      </c>
      <c r="F39" s="79">
        <f>(D39*E39)</f>
        <v>2.5174999999999996</v>
      </c>
    </row>
    <row r="40" spans="1:6" ht="12.75">
      <c r="A40" s="3" t="s">
        <v>292</v>
      </c>
      <c r="B40" s="4" t="str">
        <f>VLOOKUP(A40,Insumos,2)</f>
        <v>cemento Portland</v>
      </c>
      <c r="C40" s="6" t="str">
        <f>VLOOKUP(A40,Insumos,3)</f>
        <v>kg</v>
      </c>
      <c r="D40" s="60">
        <v>5</v>
      </c>
      <c r="E40" s="60">
        <f>VLOOKUP(A40,Insumos,4)</f>
        <v>0.4787</v>
      </c>
      <c r="F40" s="79">
        <f>(D40*E40)</f>
        <v>2.3935</v>
      </c>
    </row>
    <row r="41" spans="1:6" ht="12.75">
      <c r="A41" s="3" t="s">
        <v>294</v>
      </c>
      <c r="B41" s="4" t="str">
        <f>VLOOKUP(A41,Insumos,2)</f>
        <v>arena gruesa</v>
      </c>
      <c r="C41" s="6" t="str">
        <f>VLOOKUP(A41,Insumos,3)</f>
        <v>m3</v>
      </c>
      <c r="D41" s="60">
        <v>0.03</v>
      </c>
      <c r="E41" s="60">
        <f>VLOOKUP(A41,Insumos,4)</f>
        <v>51</v>
      </c>
      <c r="F41" s="79">
        <f>(D41*E41)</f>
        <v>1.53</v>
      </c>
    </row>
    <row r="42" spans="1:6" ht="12.75">
      <c r="A42" s="3" t="s">
        <v>305</v>
      </c>
      <c r="B42" s="4" t="str">
        <f>VLOOKUP(A42,'IN-06-10'!$A$5:$D$440,2)</f>
        <v>mosaico calcareo amarillo, rojo o gris</v>
      </c>
      <c r="C42" s="4" t="str">
        <f>VLOOKUP(A42,'IN-06-10'!$A$5:$D$440,3)</f>
        <v>m2</v>
      </c>
      <c r="D42" s="60">
        <v>1.27</v>
      </c>
      <c r="E42" s="4">
        <f>VLOOKUP(A42,'IN-06-10'!$A$5:$D$440,4)</f>
        <v>24.7934</v>
      </c>
      <c r="F42" s="79">
        <f>(D42*E42)</f>
        <v>31.487617999999998</v>
      </c>
    </row>
    <row r="43" spans="1:6" ht="12.75">
      <c r="A43" s="94" t="s">
        <v>1074</v>
      </c>
      <c r="D43" s="60"/>
      <c r="E43" s="60"/>
      <c r="F43" s="79"/>
    </row>
    <row r="44" spans="1:6" ht="12.75">
      <c r="A44" s="3" t="s">
        <v>289</v>
      </c>
      <c r="B44" s="4" t="str">
        <f>VLOOKUP(A44,Insumos,2)</f>
        <v>cuadrilla tipo UOCRA</v>
      </c>
      <c r="C44" s="6" t="str">
        <f>VLOOKUP(A44,Insumos,3)</f>
        <v>h</v>
      </c>
      <c r="D44" s="60">
        <v>1.7</v>
      </c>
      <c r="E44" s="60">
        <f>VLOOKUP(A44,Insumos,4)</f>
        <v>21.86</v>
      </c>
      <c r="F44" s="79">
        <f>(D44*E44)</f>
        <v>37.162</v>
      </c>
    </row>
    <row r="45" spans="1:6" ht="12.75">
      <c r="A45" s="94" t="s">
        <v>1075</v>
      </c>
      <c r="D45" s="60"/>
      <c r="E45" s="60"/>
      <c r="F45" s="79"/>
    </row>
    <row r="46" spans="1:6" ht="12.75">
      <c r="A46" s="3" t="s">
        <v>295</v>
      </c>
      <c r="B46" s="4" t="str">
        <f>VLOOKUP(A46,Insumos,2)</f>
        <v>canasta 2 (mixer 5m3)</v>
      </c>
      <c r="C46" s="6" t="str">
        <f>VLOOKUP(A46,Insumos,3)</f>
        <v>h</v>
      </c>
      <c r="D46" s="60">
        <v>0.01372</v>
      </c>
      <c r="E46" s="60">
        <f>VLOOKUP(A46,Insumos,4)</f>
        <v>262.81</v>
      </c>
      <c r="F46" s="79">
        <f>(D46*E46)</f>
        <v>3.6057532</v>
      </c>
    </row>
    <row r="47" spans="4:6" ht="13.5" thickBot="1">
      <c r="D47" s="60"/>
      <c r="E47" s="60"/>
      <c r="F47" s="79"/>
    </row>
    <row r="48" spans="1:7" ht="13.5" thickTop="1">
      <c r="A48" s="87" t="s">
        <v>1069</v>
      </c>
      <c r="B48" s="8" t="s">
        <v>358</v>
      </c>
      <c r="C48" s="89" t="str">
        <f>Fecha</f>
        <v>JUN/10</v>
      </c>
      <c r="D48" s="57"/>
      <c r="E48" s="57"/>
      <c r="F48" s="77">
        <f>SUM(F50:F57)</f>
        <v>58.1656916</v>
      </c>
      <c r="G48" s="50"/>
    </row>
    <row r="49" spans="1:7" ht="13.5" thickBot="1">
      <c r="A49" s="7" t="s">
        <v>1068</v>
      </c>
      <c r="B49" s="7" t="s">
        <v>354</v>
      </c>
      <c r="C49" s="90" t="s">
        <v>1067</v>
      </c>
      <c r="D49" s="58" t="s">
        <v>712</v>
      </c>
      <c r="E49" s="59"/>
      <c r="F49" s="78"/>
      <c r="G49" s="51" t="s">
        <v>602</v>
      </c>
    </row>
    <row r="50" spans="1:6" ht="13.5" thickTop="1">
      <c r="A50" s="94" t="s">
        <v>1073</v>
      </c>
      <c r="D50" s="60"/>
      <c r="E50" s="60"/>
      <c r="F50" s="79"/>
    </row>
    <row r="51" spans="1:6" ht="12.75">
      <c r="A51" s="3" t="s">
        <v>306</v>
      </c>
      <c r="B51" s="4" t="str">
        <f>VLOOKUP(A51,Insumos,2)</f>
        <v>adhesivo p/piso cerámico</v>
      </c>
      <c r="C51" s="6" t="str">
        <f>VLOOKUP(A51,Insumos,3)</f>
        <v>kg</v>
      </c>
      <c r="D51" s="60">
        <v>3.5</v>
      </c>
      <c r="E51" s="60">
        <f>VLOOKUP(A51,Insumos,4)</f>
        <v>0.75</v>
      </c>
      <c r="F51" s="79">
        <f>(D51*E51)</f>
        <v>2.625</v>
      </c>
    </row>
    <row r="52" spans="1:6" ht="12.75">
      <c r="A52" s="3" t="s">
        <v>432</v>
      </c>
      <c r="B52" s="4" t="str">
        <f>VLOOKUP(A52,Insumos,2)</f>
        <v>cemento blanco</v>
      </c>
      <c r="C52" s="6" t="str">
        <f>VLOOKUP(A52,Insumos,3)</f>
        <v>bolsa</v>
      </c>
      <c r="D52" s="60">
        <v>0.01</v>
      </c>
      <c r="E52" s="60">
        <f>VLOOKUP(A52,Insumos,4)</f>
        <v>65</v>
      </c>
      <c r="F52" s="79">
        <f>(D52*E52)</f>
        <v>0.65</v>
      </c>
    </row>
    <row r="53" spans="1:6" ht="12.75">
      <c r="A53" s="3" t="s">
        <v>789</v>
      </c>
      <c r="B53" s="4" t="str">
        <f>VLOOKUP(A53,'IN-06-10'!$A$5:$D$440,2)</f>
        <v>cerámico esmaltado 20x20</v>
      </c>
      <c r="C53" s="4" t="str">
        <f>VLOOKUP(A53,'IN-06-10'!$A$5:$D$440,3)</f>
        <v>m2</v>
      </c>
      <c r="D53" s="60">
        <v>1.12</v>
      </c>
      <c r="E53" s="4">
        <f>VLOOKUP(A53,'IN-06-10'!$A$5:$D$440,4)</f>
        <v>27.53</v>
      </c>
      <c r="F53" s="79">
        <f>(D53*E53)</f>
        <v>30.833600000000004</v>
      </c>
    </row>
    <row r="54" spans="1:6" ht="12.75">
      <c r="A54" s="94" t="s">
        <v>1074</v>
      </c>
      <c r="D54" s="60"/>
      <c r="E54" s="60"/>
      <c r="F54" s="79"/>
    </row>
    <row r="55" spans="1:6" ht="12.75">
      <c r="A55" s="3" t="s">
        <v>289</v>
      </c>
      <c r="B55" s="4" t="str">
        <f>VLOOKUP(A55,Insumos,2)</f>
        <v>cuadrilla tipo UOCRA</v>
      </c>
      <c r="C55" s="6" t="str">
        <f>VLOOKUP(A55,Insumos,3)</f>
        <v>h</v>
      </c>
      <c r="D55" s="60">
        <v>1</v>
      </c>
      <c r="E55" s="60">
        <f>VLOOKUP(A55,Insumos,4)</f>
        <v>21.86</v>
      </c>
      <c r="F55" s="79">
        <f>(D55*E55)</f>
        <v>21.86</v>
      </c>
    </row>
    <row r="56" spans="1:6" ht="12.75">
      <c r="A56" s="94" t="s">
        <v>1075</v>
      </c>
      <c r="D56" s="60"/>
      <c r="E56" s="60"/>
      <c r="F56" s="79"/>
    </row>
    <row r="57" spans="1:6" ht="12.75">
      <c r="A57" s="3" t="s">
        <v>295</v>
      </c>
      <c r="B57" s="4" t="str">
        <f>VLOOKUP(A57,Insumos,2)</f>
        <v>canasta 2 (mixer 5m3)</v>
      </c>
      <c r="C57" s="6" t="str">
        <f>VLOOKUP(A57,Insumos,3)</f>
        <v>h</v>
      </c>
      <c r="D57" s="60">
        <v>0.00836</v>
      </c>
      <c r="E57" s="60">
        <f>VLOOKUP(A57,Insumos,4)</f>
        <v>262.81</v>
      </c>
      <c r="F57" s="79">
        <f>(D57*E57)</f>
        <v>2.1970916</v>
      </c>
    </row>
    <row r="58" spans="4:6" ht="13.5" thickBot="1">
      <c r="D58" s="60"/>
      <c r="E58" s="60"/>
      <c r="F58" s="79"/>
    </row>
    <row r="59" spans="1:7" ht="13.5" thickTop="1">
      <c r="A59" s="87" t="s">
        <v>1069</v>
      </c>
      <c r="B59" s="8" t="s">
        <v>713</v>
      </c>
      <c r="C59" s="89" t="str">
        <f>Fecha</f>
        <v>JUN/10</v>
      </c>
      <c r="D59" s="57"/>
      <c r="E59" s="57"/>
      <c r="F59" s="77">
        <f>SUM(F61:F70)</f>
        <v>71.90634</v>
      </c>
      <c r="G59" s="50"/>
    </row>
    <row r="60" spans="1:7" ht="13.5" thickBot="1">
      <c r="A60" s="7" t="s">
        <v>1068</v>
      </c>
      <c r="B60" s="7" t="s">
        <v>354</v>
      </c>
      <c r="C60" s="90" t="s">
        <v>1067</v>
      </c>
      <c r="D60" s="58" t="s">
        <v>404</v>
      </c>
      <c r="E60" s="59"/>
      <c r="F60" s="78"/>
      <c r="G60" s="51" t="s">
        <v>602</v>
      </c>
    </row>
    <row r="61" spans="1:6" ht="13.5" thickTop="1">
      <c r="A61" s="94" t="s">
        <v>1073</v>
      </c>
      <c r="D61" s="60"/>
      <c r="E61" s="60"/>
      <c r="F61" s="79"/>
    </row>
    <row r="62" spans="1:6" ht="12.75">
      <c r="A62" s="3" t="s">
        <v>306</v>
      </c>
      <c r="B62" s="4" t="str">
        <f>VLOOKUP(A62,Insumos,2)</f>
        <v>adhesivo p/piso cerámico</v>
      </c>
      <c r="C62" s="6" t="str">
        <f>VLOOKUP(A62,Insumos,3)</f>
        <v>kg</v>
      </c>
      <c r="D62" s="60">
        <v>3.5</v>
      </c>
      <c r="E62" s="60">
        <f>VLOOKUP(A62,Insumos,4)</f>
        <v>0.75</v>
      </c>
      <c r="F62" s="79">
        <f>(D62*E62)</f>
        <v>2.625</v>
      </c>
    </row>
    <row r="63" spans="1:6" ht="12.75">
      <c r="A63" s="3" t="s">
        <v>292</v>
      </c>
      <c r="B63" s="4" t="str">
        <f>VLOOKUP(A63,Insumos,2)</f>
        <v>cemento Portland</v>
      </c>
      <c r="C63" s="6" t="str">
        <f>VLOOKUP(A63,Insumos,3)</f>
        <v>kg</v>
      </c>
      <c r="D63" s="60">
        <v>15</v>
      </c>
      <c r="E63" s="60">
        <f>VLOOKUP(A63,Insumos,4)</f>
        <v>0.4787</v>
      </c>
      <c r="F63" s="79">
        <f>(D63*E63)</f>
        <v>7.1805</v>
      </c>
    </row>
    <row r="64" spans="1:6" ht="12.75">
      <c r="A64" s="3" t="s">
        <v>432</v>
      </c>
      <c r="B64" s="4" t="str">
        <f>VLOOKUP(A64,Insumos,2)</f>
        <v>cemento blanco</v>
      </c>
      <c r="C64" s="6" t="str">
        <f>VLOOKUP(A64,Insumos,3)</f>
        <v>bolsa</v>
      </c>
      <c r="D64" s="60">
        <v>0.01</v>
      </c>
      <c r="E64" s="60">
        <f>VLOOKUP(A64,Insumos,4)</f>
        <v>65</v>
      </c>
      <c r="F64" s="79">
        <f>(D64*E64)</f>
        <v>0.65</v>
      </c>
    </row>
    <row r="65" spans="1:6" ht="12.75">
      <c r="A65" s="3" t="s">
        <v>294</v>
      </c>
      <c r="B65" s="4" t="str">
        <f>VLOOKUP(A65,Insumos,2)</f>
        <v>arena gruesa</v>
      </c>
      <c r="C65" s="6" t="str">
        <f>VLOOKUP(A65,Insumos,3)</f>
        <v>m3</v>
      </c>
      <c r="D65" s="60">
        <v>0.03</v>
      </c>
      <c r="E65" s="60">
        <f>VLOOKUP(A65,Insumos,4)</f>
        <v>51</v>
      </c>
      <c r="F65" s="79">
        <f>(D65*E65)</f>
        <v>1.53</v>
      </c>
    </row>
    <row r="66" spans="1:6" ht="12.75">
      <c r="A66" s="3" t="s">
        <v>307</v>
      </c>
      <c r="B66" s="4" t="str">
        <f>VLOOKUP(A66,'IN-06-10'!$A$5:$D$440,2)</f>
        <v>baldosa cerámica roja 8 x 16</v>
      </c>
      <c r="C66" s="4" t="str">
        <f>VLOOKUP(A66,'IN-06-10'!$A$5:$D$440,3)</f>
        <v>m2</v>
      </c>
      <c r="D66" s="60">
        <v>1.12</v>
      </c>
      <c r="E66" s="4">
        <f>VLOOKUP(A66,'IN-06-10'!$A$5:$D$440,4)</f>
        <v>17.43</v>
      </c>
      <c r="F66" s="79">
        <f>(D66*E66)</f>
        <v>19.521600000000003</v>
      </c>
    </row>
    <row r="67" spans="1:6" ht="12.75">
      <c r="A67" s="94" t="s">
        <v>1074</v>
      </c>
      <c r="D67" s="60"/>
      <c r="E67" s="60"/>
      <c r="F67" s="79"/>
    </row>
    <row r="68" spans="1:6" ht="12.75">
      <c r="A68" s="3" t="s">
        <v>289</v>
      </c>
      <c r="B68" s="4" t="str">
        <f>VLOOKUP(A68,Insumos,2)</f>
        <v>cuadrilla tipo UOCRA</v>
      </c>
      <c r="C68" s="6" t="str">
        <f>VLOOKUP(A68,Insumos,3)</f>
        <v>h</v>
      </c>
      <c r="D68" s="60">
        <v>1.8</v>
      </c>
      <c r="E68" s="60">
        <f>VLOOKUP(A68,Insumos,4)</f>
        <v>21.86</v>
      </c>
      <c r="F68" s="79">
        <f>(D68*E68)</f>
        <v>39.348</v>
      </c>
    </row>
    <row r="69" spans="1:6" ht="12.75">
      <c r="A69" s="94" t="s">
        <v>1075</v>
      </c>
      <c r="D69" s="60"/>
      <c r="E69" s="60"/>
      <c r="F69" s="79"/>
    </row>
    <row r="70" spans="1:6" ht="12.75">
      <c r="A70" s="3" t="s">
        <v>295</v>
      </c>
      <c r="B70" s="4" t="str">
        <f>VLOOKUP(A70,Insumos,2)</f>
        <v>canasta 2 (mixer 5m3)</v>
      </c>
      <c r="C70" s="6" t="str">
        <f>VLOOKUP(A70,Insumos,3)</f>
        <v>h</v>
      </c>
      <c r="D70" s="60">
        <v>0.004</v>
      </c>
      <c r="E70" s="60">
        <f>VLOOKUP(A70,Insumos,4)</f>
        <v>262.81</v>
      </c>
      <c r="F70" s="79">
        <f>(D70*E70)</f>
        <v>1.05124</v>
      </c>
    </row>
    <row r="71" spans="4:6" ht="13.5" thickBot="1">
      <c r="D71" s="60"/>
      <c r="E71" s="60"/>
      <c r="F71" s="79"/>
    </row>
    <row r="72" spans="1:7" ht="13.5" thickTop="1">
      <c r="A72" s="87" t="s">
        <v>1069</v>
      </c>
      <c r="B72" s="8" t="s">
        <v>359</v>
      </c>
      <c r="C72" s="89" t="str">
        <f>Fecha</f>
        <v>JUN/10</v>
      </c>
      <c r="D72" s="57"/>
      <c r="E72" s="57"/>
      <c r="F72" s="77">
        <f>SUM(F74:F80)</f>
        <v>36.217128499999994</v>
      </c>
      <c r="G72" s="50"/>
    </row>
    <row r="73" spans="1:7" ht="13.5" thickBot="1">
      <c r="A73" s="7" t="s">
        <v>1068</v>
      </c>
      <c r="B73" s="7" t="s">
        <v>354</v>
      </c>
      <c r="C73" s="90" t="s">
        <v>1067</v>
      </c>
      <c r="D73" s="58" t="s">
        <v>405</v>
      </c>
      <c r="E73" s="59"/>
      <c r="F73" s="78"/>
      <c r="G73" s="51" t="s">
        <v>602</v>
      </c>
    </row>
    <row r="74" spans="1:6" ht="13.5" thickTop="1">
      <c r="A74" s="94" t="s">
        <v>1073</v>
      </c>
      <c r="D74" s="60"/>
      <c r="E74" s="60"/>
      <c r="F74" s="79"/>
    </row>
    <row r="75" spans="1:6" ht="12.75">
      <c r="A75" s="3" t="s">
        <v>292</v>
      </c>
      <c r="B75" s="4" t="str">
        <f>VLOOKUP(A75,Insumos,2)</f>
        <v>cemento Portland</v>
      </c>
      <c r="C75" s="6" t="str">
        <f>VLOOKUP(A75,Insumos,3)</f>
        <v>kg</v>
      </c>
      <c r="D75" s="60">
        <v>15</v>
      </c>
      <c r="E75" s="60">
        <f>VLOOKUP(A75,Insumos,4)</f>
        <v>0.4787</v>
      </c>
      <c r="F75" s="79">
        <f>(D75*E75)</f>
        <v>7.1805</v>
      </c>
    </row>
    <row r="76" spans="1:6" ht="12.75">
      <c r="A76" s="3" t="s">
        <v>294</v>
      </c>
      <c r="B76" s="4" t="str">
        <f>VLOOKUP(A76,Insumos,2)</f>
        <v>arena gruesa</v>
      </c>
      <c r="C76" s="6" t="str">
        <f>VLOOKUP(A76,Insumos,3)</f>
        <v>m3</v>
      </c>
      <c r="D76" s="60">
        <v>0.03</v>
      </c>
      <c r="E76" s="60">
        <f>VLOOKUP(A76,Insumos,4)</f>
        <v>51</v>
      </c>
      <c r="F76" s="79">
        <f>(D76*E76)</f>
        <v>1.53</v>
      </c>
    </row>
    <row r="77" spans="1:6" ht="12.75">
      <c r="A77" s="94" t="s">
        <v>1074</v>
      </c>
      <c r="D77" s="60"/>
      <c r="E77" s="60"/>
      <c r="F77" s="79"/>
    </row>
    <row r="78" spans="1:6" ht="12.75">
      <c r="A78" s="3" t="s">
        <v>289</v>
      </c>
      <c r="B78" s="4" t="str">
        <f>VLOOKUP(A78,Insumos,2)</f>
        <v>cuadrilla tipo UOCRA</v>
      </c>
      <c r="C78" s="6" t="str">
        <f>VLOOKUP(A78,Insumos,3)</f>
        <v>h</v>
      </c>
      <c r="D78" s="60">
        <v>1.2</v>
      </c>
      <c r="E78" s="60">
        <f>VLOOKUP(A78,Insumos,4)</f>
        <v>21.86</v>
      </c>
      <c r="F78" s="79">
        <f>(D78*E78)</f>
        <v>26.232</v>
      </c>
    </row>
    <row r="79" spans="1:6" ht="12.75">
      <c r="A79" s="94" t="s">
        <v>1075</v>
      </c>
      <c r="D79" s="60"/>
      <c r="E79" s="60"/>
      <c r="F79" s="79"/>
    </row>
    <row r="80" spans="1:6" ht="12.75">
      <c r="A80" s="3" t="s">
        <v>295</v>
      </c>
      <c r="B80" s="4" t="str">
        <f>VLOOKUP(A80,Insumos,2)</f>
        <v>canasta 2 (mixer 5m3)</v>
      </c>
      <c r="C80" s="6" t="str">
        <f>VLOOKUP(A80,Insumos,3)</f>
        <v>h</v>
      </c>
      <c r="D80" s="60">
        <v>0.00485</v>
      </c>
      <c r="E80" s="60">
        <f>VLOOKUP(A80,Insumos,4)</f>
        <v>262.81</v>
      </c>
      <c r="F80" s="79">
        <f>(D80*E80)</f>
        <v>1.2746285</v>
      </c>
    </row>
    <row r="81" spans="1:6" ht="13.5" thickBot="1">
      <c r="A81" s="3"/>
      <c r="B81" s="4"/>
      <c r="C81" s="6"/>
      <c r="D81" s="60"/>
      <c r="E81" s="60"/>
      <c r="F81" s="79"/>
    </row>
    <row r="82" spans="1:7" ht="13.5" thickTop="1">
      <c r="A82" s="87" t="s">
        <v>1069</v>
      </c>
      <c r="B82" s="8" t="s">
        <v>549</v>
      </c>
      <c r="C82" s="89" t="str">
        <f>Fecha</f>
        <v>JUN/10</v>
      </c>
      <c r="D82" s="57"/>
      <c r="E82" s="57"/>
      <c r="F82" s="77">
        <f>SUM(F85:F91)</f>
        <v>44.98763</v>
      </c>
      <c r="G82" s="50"/>
    </row>
    <row r="83" spans="1:7" ht="13.5" thickBot="1">
      <c r="A83" s="7" t="s">
        <v>1068</v>
      </c>
      <c r="B83" s="7" t="s">
        <v>354</v>
      </c>
      <c r="C83" s="90" t="s">
        <v>1067</v>
      </c>
      <c r="D83" s="58" t="s">
        <v>550</v>
      </c>
      <c r="E83" s="59"/>
      <c r="F83" s="78"/>
      <c r="G83" s="51" t="s">
        <v>602</v>
      </c>
    </row>
    <row r="84" spans="4:6" ht="13.5" thickTop="1">
      <c r="D84" s="60"/>
      <c r="E84" s="60"/>
      <c r="F84" s="79"/>
    </row>
    <row r="85" spans="1:6" ht="12.75">
      <c r="A85" s="94" t="s">
        <v>1073</v>
      </c>
      <c r="D85" s="60"/>
      <c r="E85" s="60"/>
      <c r="F85" s="79"/>
    </row>
    <row r="86" spans="1:6" ht="12.75">
      <c r="A86" s="3" t="s">
        <v>292</v>
      </c>
      <c r="B86" s="4" t="str">
        <f>VLOOKUP(A86,Insumos,2)</f>
        <v>cemento Portland</v>
      </c>
      <c r="C86" s="6" t="str">
        <f>VLOOKUP(A86,Insumos,3)</f>
        <v>kg</v>
      </c>
      <c r="D86" s="60">
        <v>23.4</v>
      </c>
      <c r="E86" s="60">
        <f>VLOOKUP(A86,Insumos,4)</f>
        <v>0.4787</v>
      </c>
      <c r="F86" s="79">
        <f>(D86*E86)</f>
        <v>11.20158</v>
      </c>
    </row>
    <row r="87" spans="1:6" ht="12.75">
      <c r="A87" s="3" t="s">
        <v>304</v>
      </c>
      <c r="B87" s="4" t="str">
        <f>VLOOKUP(A87,Insumos,2)</f>
        <v>ripiosa</v>
      </c>
      <c r="C87" s="6" t="str">
        <f>VLOOKUP(A87,Insumos,3)</f>
        <v>m3</v>
      </c>
      <c r="D87" s="60">
        <v>0.13</v>
      </c>
      <c r="E87" s="60">
        <f>VLOOKUP(A87,Insumos,4)</f>
        <v>48</v>
      </c>
      <c r="F87" s="79">
        <f>(D87*E87)</f>
        <v>6.24</v>
      </c>
    </row>
    <row r="88" spans="1:6" ht="12.75">
      <c r="A88" s="94" t="s">
        <v>1074</v>
      </c>
      <c r="D88" s="60"/>
      <c r="E88" s="60"/>
      <c r="F88" s="79"/>
    </row>
    <row r="89" spans="1:6" ht="12.75">
      <c r="A89" s="3" t="s">
        <v>289</v>
      </c>
      <c r="B89" s="4" t="str">
        <f>VLOOKUP(A89,Insumos,2)</f>
        <v>cuadrilla tipo UOCRA</v>
      </c>
      <c r="C89" s="6" t="str">
        <f>VLOOKUP(A89,Insumos,3)</f>
        <v>h</v>
      </c>
      <c r="D89" s="60">
        <v>1.2</v>
      </c>
      <c r="E89" s="60">
        <f>VLOOKUP(A89,Insumos,4)</f>
        <v>21.86</v>
      </c>
      <c r="F89" s="79">
        <f>(D89*E89)</f>
        <v>26.232</v>
      </c>
    </row>
    <row r="90" spans="1:6" ht="12.75">
      <c r="A90" s="94" t="s">
        <v>1075</v>
      </c>
      <c r="D90" s="60"/>
      <c r="E90" s="60"/>
      <c r="F90" s="79"/>
    </row>
    <row r="91" spans="1:6" ht="12.75">
      <c r="A91" s="3" t="s">
        <v>295</v>
      </c>
      <c r="B91" s="4" t="str">
        <f>VLOOKUP(A91,Insumos,2)</f>
        <v>canasta 2 (mixer 5m3)</v>
      </c>
      <c r="C91" s="6" t="str">
        <f>VLOOKUP(A91,Insumos,3)</f>
        <v>h</v>
      </c>
      <c r="D91" s="60">
        <v>0.005</v>
      </c>
      <c r="E91" s="60">
        <f>VLOOKUP(A91,Insumos,4)</f>
        <v>262.81</v>
      </c>
      <c r="F91" s="79">
        <f>(D91*E91)</f>
        <v>1.31405</v>
      </c>
    </row>
    <row r="92" spans="1:6" ht="13.5" thickBot="1">
      <c r="A92" s="3"/>
      <c r="B92" s="4"/>
      <c r="C92" s="6"/>
      <c r="D92" s="60"/>
      <c r="E92" s="60"/>
      <c r="F92" s="79"/>
    </row>
    <row r="93" spans="1:7" ht="13.5" thickTop="1">
      <c r="A93" s="87" t="s">
        <v>1069</v>
      </c>
      <c r="B93" s="8" t="s">
        <v>551</v>
      </c>
      <c r="C93" s="89" t="str">
        <f>Fecha</f>
        <v>JUN/10</v>
      </c>
      <c r="D93" s="57"/>
      <c r="E93" s="57"/>
      <c r="F93" s="77">
        <f>SUM(F96:F103)</f>
        <v>73.86265</v>
      </c>
      <c r="G93" s="50"/>
    </row>
    <row r="94" spans="1:7" ht="13.5" thickBot="1">
      <c r="A94" s="7" t="s">
        <v>1068</v>
      </c>
      <c r="B94" s="7" t="s">
        <v>354</v>
      </c>
      <c r="C94" s="90" t="s">
        <v>1067</v>
      </c>
      <c r="D94" s="58" t="s">
        <v>565</v>
      </c>
      <c r="E94" s="59"/>
      <c r="F94" s="78"/>
      <c r="G94" s="51" t="s">
        <v>602</v>
      </c>
    </row>
    <row r="95" spans="4:6" ht="13.5" thickTop="1">
      <c r="D95" s="60"/>
      <c r="E95" s="60"/>
      <c r="F95" s="79"/>
    </row>
    <row r="96" spans="1:6" ht="12.75">
      <c r="A96" s="94" t="s">
        <v>1073</v>
      </c>
      <c r="D96" s="60"/>
      <c r="E96" s="60"/>
      <c r="F96" s="79"/>
    </row>
    <row r="97" spans="1:6" ht="12.75">
      <c r="A97" s="3" t="s">
        <v>292</v>
      </c>
      <c r="B97" s="4" t="str">
        <f>VLOOKUP(A97,Insumos,2)</f>
        <v>cemento Portland</v>
      </c>
      <c r="C97" s="6" t="str">
        <f>VLOOKUP(A97,Insumos,3)</f>
        <v>kg</v>
      </c>
      <c r="D97" s="60">
        <f>+D98*260</f>
        <v>50.7</v>
      </c>
      <c r="E97" s="60">
        <f>VLOOKUP(A97,Insumos,4)</f>
        <v>0.4787</v>
      </c>
      <c r="F97" s="79">
        <f>(D97*E97)</f>
        <v>24.270090000000003</v>
      </c>
    </row>
    <row r="98" spans="1:6" ht="12.75">
      <c r="A98" s="3" t="s">
        <v>304</v>
      </c>
      <c r="B98" s="4" t="str">
        <f>VLOOKUP(A98,Insumos,2)</f>
        <v>ripiosa</v>
      </c>
      <c r="C98" s="6" t="str">
        <f>VLOOKUP(A98,Insumos,3)</f>
        <v>m3</v>
      </c>
      <c r="D98" s="60">
        <v>0.195</v>
      </c>
      <c r="E98" s="60">
        <f>VLOOKUP(A98,Insumos,4)</f>
        <v>48</v>
      </c>
      <c r="F98" s="79">
        <f>(D98*E98)</f>
        <v>9.36</v>
      </c>
    </row>
    <row r="99" spans="1:6" ht="12.75">
      <c r="A99" s="3" t="s">
        <v>296</v>
      </c>
      <c r="B99" s="4" t="str">
        <f>VLOOKUP(A99,Insumos,2)</f>
        <v>malla Sima R92</v>
      </c>
      <c r="C99" s="6" t="str">
        <f>VLOOKUP(A99,Insumos,3)</f>
        <v>kg</v>
      </c>
      <c r="D99" s="60">
        <v>1.2</v>
      </c>
      <c r="E99" s="60">
        <f>VLOOKUP(A99,Insumos,4)</f>
        <v>5.3261</v>
      </c>
      <c r="F99" s="79">
        <f>(D99*E99)</f>
        <v>6.39132</v>
      </c>
    </row>
    <row r="100" spans="1:6" ht="12.75">
      <c r="A100" s="94" t="s">
        <v>1074</v>
      </c>
      <c r="D100" s="60"/>
      <c r="E100" s="60"/>
      <c r="F100" s="79"/>
    </row>
    <row r="101" spans="1:6" ht="12.75">
      <c r="A101" s="3" t="s">
        <v>289</v>
      </c>
      <c r="B101" s="4" t="str">
        <f>VLOOKUP(A101,Insumos,2)</f>
        <v>cuadrilla tipo UOCRA</v>
      </c>
      <c r="C101" s="6" t="str">
        <f>VLOOKUP(A101,Insumos,3)</f>
        <v>h</v>
      </c>
      <c r="D101" s="60">
        <v>1.5</v>
      </c>
      <c r="E101" s="60">
        <f>VLOOKUP(A101,Insumos,4)</f>
        <v>21.86</v>
      </c>
      <c r="F101" s="79">
        <f>(D101*E101)</f>
        <v>32.79</v>
      </c>
    </row>
    <row r="102" spans="1:6" ht="12.75">
      <c r="A102" s="94" t="s">
        <v>1075</v>
      </c>
      <c r="D102" s="60"/>
      <c r="E102" s="60"/>
      <c r="F102" s="79"/>
    </row>
    <row r="103" spans="1:6" ht="12.75">
      <c r="A103" s="3" t="s">
        <v>295</v>
      </c>
      <c r="B103" s="4" t="str">
        <f>VLOOKUP(A103,Insumos,2)</f>
        <v>canasta 2 (mixer 5m3)</v>
      </c>
      <c r="C103" s="6" t="str">
        <f>VLOOKUP(A103,Insumos,3)</f>
        <v>h</v>
      </c>
      <c r="D103" s="60">
        <v>0.004</v>
      </c>
      <c r="E103" s="60">
        <f>VLOOKUP(A103,Insumos,4)</f>
        <v>262.81</v>
      </c>
      <c r="F103" s="79">
        <f>(D103*E103)</f>
        <v>1.05124</v>
      </c>
    </row>
    <row r="104" ht="12.75">
      <c r="D104" s="60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mejias</cp:lastModifiedBy>
  <cp:lastPrinted>2010-09-30T13:54:02Z</cp:lastPrinted>
  <dcterms:created xsi:type="dcterms:W3CDTF">2002-02-11T21:12:54Z</dcterms:created>
  <dcterms:modified xsi:type="dcterms:W3CDTF">2010-09-30T13:54:17Z</dcterms:modified>
  <cp:category/>
  <cp:version/>
  <cp:contentType/>
  <cp:contentStatus/>
</cp:coreProperties>
</file>